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60" windowWidth="20730" windowHeight="11220"/>
  </bookViews>
  <sheets>
    <sheet name="Home" sheetId="1" r:id="rId1"/>
    <sheet name="GA-1 Anamix Early Years" sheetId="3" r:id="rId2"/>
    <sheet name="GlutarAde Junior" sheetId="13" r:id="rId3"/>
    <sheet name="GlutarAde Essential" sheetId="4" r:id="rId4"/>
    <sheet name="Product Range" sheetId="11" r:id="rId5"/>
    <sheet name="Analog to Anamix EY" sheetId="12" r:id="rId6"/>
    <sheet name="Anamix EY to Essential" sheetId="6" r:id="rId7"/>
    <sheet name="Abbott" sheetId="8" r:id="rId8"/>
    <sheet name="MJ" sheetId="9" r:id="rId9"/>
  </sheets>
  <calcPr calcId="145621"/>
</workbook>
</file>

<file path=xl/calcChain.xml><?xml version="1.0" encoding="utf-8"?>
<calcChain xmlns="http://schemas.openxmlformats.org/spreadsheetml/2006/main">
  <c r="B10" i="4" l="1"/>
  <c r="B9" i="4"/>
  <c r="B8" i="4"/>
  <c r="F43" i="13"/>
  <c r="D43" i="13"/>
  <c r="B43" i="13"/>
  <c r="B42" i="13"/>
  <c r="D42" i="13" s="1"/>
  <c r="B41" i="13"/>
  <c r="F41" i="13" s="1"/>
  <c r="F40" i="13"/>
  <c r="B40" i="13"/>
  <c r="D40" i="13" s="1"/>
  <c r="B39" i="13"/>
  <c r="D39" i="13" s="1"/>
  <c r="B38" i="13"/>
  <c r="D38" i="13" s="1"/>
  <c r="B37" i="13"/>
  <c r="F37" i="13" s="1"/>
  <c r="B36" i="13"/>
  <c r="D36" i="13" s="1"/>
  <c r="B35" i="13"/>
  <c r="F35" i="13" s="1"/>
  <c r="B34" i="13"/>
  <c r="D34" i="13" s="1"/>
  <c r="B33" i="13"/>
  <c r="F33" i="13" s="1"/>
  <c r="B32" i="13"/>
  <c r="D32" i="13" s="1"/>
  <c r="F31" i="13"/>
  <c r="B31" i="13"/>
  <c r="D31" i="13" s="1"/>
  <c r="B30" i="13"/>
  <c r="D30" i="13" s="1"/>
  <c r="B28" i="13"/>
  <c r="B27" i="13"/>
  <c r="F27" i="13" s="1"/>
  <c r="B26" i="13"/>
  <c r="F26" i="13" s="1"/>
  <c r="B25" i="13"/>
  <c r="D25" i="13" s="1"/>
  <c r="B24" i="13"/>
  <c r="F24" i="13" s="1"/>
  <c r="B23" i="13"/>
  <c r="F23" i="13" s="1"/>
  <c r="B22" i="13"/>
  <c r="F22" i="13" s="1"/>
  <c r="B21" i="13"/>
  <c r="D21" i="13" s="1"/>
  <c r="F20" i="13"/>
  <c r="B20" i="13"/>
  <c r="D20" i="13" s="1"/>
  <c r="B19" i="13"/>
  <c r="F19" i="13" s="1"/>
  <c r="B18" i="13"/>
  <c r="F18" i="13" s="1"/>
  <c r="B17" i="13"/>
  <c r="D17" i="13" s="1"/>
  <c r="F16" i="13"/>
  <c r="D16" i="13"/>
  <c r="B16" i="13"/>
  <c r="B15" i="13"/>
  <c r="F15" i="13" s="1"/>
  <c r="B14" i="13"/>
  <c r="F14" i="13" s="1"/>
  <c r="B12" i="13"/>
  <c r="B11" i="13"/>
  <c r="F11" i="13" s="1"/>
  <c r="B10" i="13"/>
  <c r="B9" i="13"/>
  <c r="B8" i="13"/>
  <c r="B7" i="13"/>
  <c r="B6" i="13"/>
  <c r="D6" i="13" s="1"/>
  <c r="B5" i="13"/>
  <c r="B4" i="13"/>
  <c r="F25" i="13" l="1"/>
  <c r="F6" i="13"/>
  <c r="F21" i="13"/>
  <c r="D24" i="13"/>
  <c r="F32" i="13"/>
  <c r="D35" i="13"/>
  <c r="F39" i="13"/>
  <c r="F17" i="13"/>
  <c r="F36" i="13"/>
  <c r="D15" i="13"/>
  <c r="D27" i="13"/>
  <c r="D14" i="13"/>
  <c r="F30" i="13"/>
  <c r="F34" i="13"/>
  <c r="F38" i="13"/>
  <c r="F42" i="13"/>
  <c r="D19" i="13"/>
  <c r="D23" i="13"/>
  <c r="D11" i="13"/>
  <c r="D18" i="13"/>
  <c r="D22" i="13"/>
  <c r="D26" i="13"/>
  <c r="D33" i="13"/>
  <c r="D37" i="13"/>
  <c r="D41" i="13"/>
  <c r="B23" i="4"/>
  <c r="F21" i="9"/>
  <c r="E21" i="9"/>
  <c r="D21" i="9"/>
  <c r="C21" i="9"/>
  <c r="I14" i="9"/>
  <c r="H14" i="9"/>
  <c r="G14" i="9"/>
  <c r="F14" i="9"/>
  <c r="E14" i="9"/>
  <c r="D14" i="9"/>
  <c r="C14" i="9"/>
  <c r="L7" i="9"/>
  <c r="K7" i="9"/>
  <c r="J7" i="9"/>
  <c r="I7" i="9"/>
  <c r="H7" i="9"/>
  <c r="G7" i="9"/>
  <c r="F7" i="9"/>
  <c r="E7" i="9"/>
  <c r="D7" i="9"/>
  <c r="C7" i="9"/>
  <c r="F22" i="12" l="1"/>
  <c r="F23" i="12" s="1"/>
  <c r="E22" i="12"/>
  <c r="E23" i="12" s="1"/>
  <c r="D22" i="12"/>
  <c r="D23" i="12" s="1"/>
  <c r="C22" i="12"/>
  <c r="C23" i="12" s="1"/>
  <c r="F21" i="12"/>
  <c r="E21" i="12"/>
  <c r="D21" i="12"/>
  <c r="C21" i="12"/>
  <c r="I16" i="12"/>
  <c r="H16" i="12"/>
  <c r="F16" i="12"/>
  <c r="E16" i="12"/>
  <c r="D16" i="12"/>
  <c r="I15" i="12"/>
  <c r="H15" i="12"/>
  <c r="G15" i="12"/>
  <c r="G16" i="12" s="1"/>
  <c r="F15" i="12"/>
  <c r="E15" i="12"/>
  <c r="D15" i="12"/>
  <c r="C15" i="12"/>
  <c r="C16" i="12" s="1"/>
  <c r="I14" i="12"/>
  <c r="H14" i="12"/>
  <c r="G14" i="12"/>
  <c r="F14" i="12"/>
  <c r="E14" i="12"/>
  <c r="D14" i="12"/>
  <c r="C14" i="12"/>
  <c r="L9" i="12"/>
  <c r="I9" i="12"/>
  <c r="H9" i="12"/>
  <c r="E9" i="12"/>
  <c r="D9" i="12"/>
  <c r="L8" i="12"/>
  <c r="K8" i="12"/>
  <c r="K9" i="12" s="1"/>
  <c r="J8" i="12"/>
  <c r="J9" i="12" s="1"/>
  <c r="I8" i="12"/>
  <c r="H8" i="12"/>
  <c r="G8" i="12"/>
  <c r="G9" i="12" s="1"/>
  <c r="F8" i="12"/>
  <c r="F9" i="12" s="1"/>
  <c r="E8" i="12"/>
  <c r="D8" i="12"/>
  <c r="C8" i="12"/>
  <c r="C9" i="12" s="1"/>
  <c r="L7" i="12"/>
  <c r="K7" i="12"/>
  <c r="J7" i="12"/>
  <c r="I7" i="12"/>
  <c r="H7" i="12"/>
  <c r="G7" i="12"/>
  <c r="F7" i="12"/>
  <c r="E7" i="12"/>
  <c r="D7" i="12"/>
  <c r="C7" i="12"/>
  <c r="Q13" i="11" l="1"/>
  <c r="O13" i="11"/>
  <c r="M13" i="11"/>
  <c r="K13" i="11"/>
  <c r="I13" i="11"/>
  <c r="G13" i="11"/>
  <c r="E13" i="11"/>
  <c r="Q12" i="11"/>
  <c r="O12" i="11"/>
  <c r="M12" i="11"/>
  <c r="K12" i="11"/>
  <c r="I12" i="11"/>
  <c r="G12" i="11"/>
  <c r="E12" i="11"/>
  <c r="Q11" i="11"/>
  <c r="O11" i="11"/>
  <c r="M11" i="11"/>
  <c r="K11" i="11"/>
  <c r="I11" i="11"/>
  <c r="G11" i="11"/>
  <c r="E11" i="11"/>
  <c r="Q10" i="11"/>
  <c r="O10" i="11"/>
  <c r="M10" i="11"/>
  <c r="K10" i="11"/>
  <c r="I10" i="11"/>
  <c r="G10" i="11"/>
  <c r="Q9" i="11"/>
  <c r="O9" i="11"/>
  <c r="M9" i="11"/>
  <c r="K9" i="11"/>
  <c r="I9" i="11"/>
  <c r="G9" i="11"/>
  <c r="E9" i="11"/>
  <c r="Q8" i="11"/>
  <c r="O8" i="11"/>
  <c r="M8" i="11"/>
  <c r="K8" i="11"/>
  <c r="I8" i="11"/>
  <c r="G8" i="11"/>
  <c r="E8" i="11"/>
  <c r="Q7" i="11"/>
  <c r="O7" i="11"/>
  <c r="M7" i="11"/>
  <c r="K7" i="11"/>
  <c r="I7" i="11"/>
  <c r="G7" i="11"/>
  <c r="E7" i="11"/>
  <c r="Q6" i="11"/>
  <c r="O6" i="11"/>
  <c r="M6" i="11"/>
  <c r="K6" i="11"/>
  <c r="I6" i="11"/>
  <c r="G6" i="11"/>
  <c r="E6" i="11"/>
  <c r="E18" i="11" l="1"/>
  <c r="M18" i="11"/>
  <c r="Q19" i="11"/>
  <c r="I18" i="11"/>
  <c r="Q18" i="11"/>
  <c r="G19" i="11"/>
  <c r="O19" i="11"/>
  <c r="I17" i="11"/>
  <c r="Q17" i="11"/>
  <c r="K17" i="11"/>
  <c r="G18" i="11"/>
  <c r="O18" i="11"/>
  <c r="I19" i="11"/>
  <c r="E17" i="11"/>
  <c r="M17" i="11"/>
  <c r="G17" i="11"/>
  <c r="O17" i="11"/>
  <c r="K19" i="11"/>
  <c r="K18" i="11"/>
  <c r="E19" i="11"/>
  <c r="M19" i="11"/>
  <c r="F22" i="6"/>
  <c r="E22" i="6"/>
  <c r="D22" i="6"/>
  <c r="C22" i="6"/>
  <c r="I15" i="6"/>
  <c r="H15" i="6"/>
  <c r="G15" i="6"/>
  <c r="F15" i="6"/>
  <c r="E15" i="6"/>
  <c r="D15" i="6"/>
  <c r="C15" i="6"/>
  <c r="C8" i="6"/>
  <c r="D8" i="6"/>
  <c r="E8" i="6"/>
  <c r="F8" i="6"/>
  <c r="G8" i="6"/>
  <c r="H8" i="6"/>
  <c r="I8" i="6"/>
  <c r="J8" i="6"/>
  <c r="K8" i="6"/>
  <c r="L8" i="6"/>
  <c r="B43" i="4" l="1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8" i="4"/>
  <c r="B27" i="4"/>
  <c r="B26" i="4"/>
  <c r="B25" i="4"/>
  <c r="B24" i="4"/>
  <c r="B22" i="4"/>
  <c r="B21" i="4"/>
  <c r="B20" i="4"/>
  <c r="B19" i="4"/>
  <c r="B18" i="4"/>
  <c r="B17" i="4"/>
  <c r="B16" i="4"/>
  <c r="B15" i="4"/>
  <c r="B14" i="4"/>
  <c r="B12" i="4"/>
  <c r="B11" i="4"/>
  <c r="B7" i="4"/>
  <c r="B5" i="4"/>
  <c r="B4" i="4"/>
  <c r="F22" i="9" l="1"/>
  <c r="F23" i="9" s="1"/>
  <c r="E22" i="9"/>
  <c r="E23" i="9" s="1"/>
  <c r="D22" i="9"/>
  <c r="D23" i="9" s="1"/>
  <c r="C22" i="9"/>
  <c r="C23" i="9" s="1"/>
  <c r="I15" i="9"/>
  <c r="I16" i="9" s="1"/>
  <c r="H15" i="9"/>
  <c r="H16" i="9" s="1"/>
  <c r="G15" i="9"/>
  <c r="G16" i="9" s="1"/>
  <c r="F15" i="9"/>
  <c r="F16" i="9" s="1"/>
  <c r="E15" i="9"/>
  <c r="E16" i="9" s="1"/>
  <c r="D15" i="9"/>
  <c r="D16" i="9" s="1"/>
  <c r="C15" i="9"/>
  <c r="C16" i="9" s="1"/>
  <c r="L8" i="9"/>
  <c r="L9" i="9" s="1"/>
  <c r="K8" i="9"/>
  <c r="K9" i="9" s="1"/>
  <c r="J8" i="9"/>
  <c r="J9" i="9" s="1"/>
  <c r="I8" i="9"/>
  <c r="I9" i="9" s="1"/>
  <c r="H8" i="9"/>
  <c r="H9" i="9" s="1"/>
  <c r="G8" i="9"/>
  <c r="G9" i="9" s="1"/>
  <c r="F8" i="9"/>
  <c r="F9" i="9" s="1"/>
  <c r="E8" i="9"/>
  <c r="E9" i="9" s="1"/>
  <c r="D8" i="9"/>
  <c r="D9" i="9" s="1"/>
  <c r="C8" i="9"/>
  <c r="C9" i="9" s="1"/>
  <c r="F22" i="8"/>
  <c r="F23" i="8" s="1"/>
  <c r="E22" i="8"/>
  <c r="E23" i="8" s="1"/>
  <c r="D22" i="8"/>
  <c r="D23" i="8" s="1"/>
  <c r="C22" i="8"/>
  <c r="C23" i="8" s="1"/>
  <c r="F21" i="8"/>
  <c r="E21" i="8"/>
  <c r="D21" i="8"/>
  <c r="C21" i="8"/>
  <c r="G16" i="8"/>
  <c r="F16" i="8"/>
  <c r="C16" i="8"/>
  <c r="I15" i="8"/>
  <c r="I16" i="8" s="1"/>
  <c r="H15" i="8"/>
  <c r="H16" i="8" s="1"/>
  <c r="G15" i="8"/>
  <c r="F15" i="8"/>
  <c r="E15" i="8"/>
  <c r="E16" i="8" s="1"/>
  <c r="D15" i="8"/>
  <c r="D16" i="8" s="1"/>
  <c r="C15" i="8"/>
  <c r="I14" i="8"/>
  <c r="H14" i="8"/>
  <c r="G14" i="8"/>
  <c r="F14" i="8"/>
  <c r="E14" i="8"/>
  <c r="D14" i="8"/>
  <c r="C14" i="8"/>
  <c r="K9" i="8"/>
  <c r="J9" i="8"/>
  <c r="G9" i="8"/>
  <c r="F9" i="8"/>
  <c r="C9" i="8"/>
  <c r="L8" i="8"/>
  <c r="L9" i="8" s="1"/>
  <c r="K8" i="8"/>
  <c r="J8" i="8"/>
  <c r="I8" i="8"/>
  <c r="I9" i="8" s="1"/>
  <c r="H8" i="8"/>
  <c r="H9" i="8" s="1"/>
  <c r="G8" i="8"/>
  <c r="F8" i="8"/>
  <c r="E8" i="8"/>
  <c r="E9" i="8" s="1"/>
  <c r="D8" i="8"/>
  <c r="D9" i="8" s="1"/>
  <c r="C8" i="8"/>
  <c r="L7" i="8"/>
  <c r="K7" i="8"/>
  <c r="J7" i="8"/>
  <c r="I7" i="8"/>
  <c r="H7" i="8"/>
  <c r="G7" i="8"/>
  <c r="F7" i="8"/>
  <c r="E7" i="8"/>
  <c r="D7" i="8"/>
  <c r="C7" i="8"/>
  <c r="F21" i="6" l="1"/>
  <c r="F23" i="6" s="1"/>
  <c r="E21" i="6"/>
  <c r="E23" i="6" s="1"/>
  <c r="D21" i="6"/>
  <c r="D23" i="6" s="1"/>
  <c r="C21" i="6"/>
  <c r="C23" i="6" s="1"/>
  <c r="I14" i="6"/>
  <c r="I16" i="6" s="1"/>
  <c r="H14" i="6"/>
  <c r="H16" i="6" s="1"/>
  <c r="G14" i="6"/>
  <c r="G16" i="6" s="1"/>
  <c r="F14" i="6"/>
  <c r="F16" i="6" s="1"/>
  <c r="E14" i="6"/>
  <c r="E16" i="6" s="1"/>
  <c r="D14" i="6"/>
  <c r="D16" i="6" s="1"/>
  <c r="C14" i="6"/>
  <c r="C16" i="6" s="1"/>
  <c r="L7" i="6"/>
  <c r="L9" i="6" s="1"/>
  <c r="K7" i="6"/>
  <c r="K9" i="6" s="1"/>
  <c r="J7" i="6"/>
  <c r="J9" i="6" s="1"/>
  <c r="I7" i="6"/>
  <c r="I9" i="6" s="1"/>
  <c r="H7" i="6"/>
  <c r="H9" i="6" s="1"/>
  <c r="G7" i="6"/>
  <c r="G9" i="6" s="1"/>
  <c r="F7" i="6"/>
  <c r="F9" i="6" s="1"/>
  <c r="E7" i="6"/>
  <c r="E9" i="6" s="1"/>
  <c r="D7" i="6"/>
  <c r="D9" i="6" s="1"/>
  <c r="C7" i="6"/>
  <c r="C9" i="6" s="1"/>
  <c r="F43" i="4" l="1"/>
  <c r="H42" i="4"/>
  <c r="J41" i="4"/>
  <c r="J40" i="4"/>
  <c r="F39" i="4"/>
  <c r="H38" i="4"/>
  <c r="J37" i="4"/>
  <c r="J36" i="4"/>
  <c r="F35" i="4"/>
  <c r="H34" i="4"/>
  <c r="J33" i="4"/>
  <c r="D32" i="4"/>
  <c r="F31" i="4"/>
  <c r="H30" i="4"/>
  <c r="D27" i="4"/>
  <c r="F26" i="4"/>
  <c r="H25" i="4"/>
  <c r="J24" i="4"/>
  <c r="D23" i="4"/>
  <c r="F22" i="4"/>
  <c r="H21" i="4"/>
  <c r="J20" i="4"/>
  <c r="D19" i="4"/>
  <c r="F18" i="4"/>
  <c r="H17" i="4"/>
  <c r="J16" i="4"/>
  <c r="D15" i="4"/>
  <c r="F14" i="4"/>
  <c r="F11" i="4"/>
  <c r="B6" i="4"/>
  <c r="D6" i="4" s="1"/>
  <c r="B4" i="3"/>
  <c r="B25" i="3" s="1"/>
  <c r="H32" i="4" l="1"/>
  <c r="F24" i="4"/>
  <c r="F32" i="4"/>
  <c r="F23" i="4"/>
  <c r="H40" i="4"/>
  <c r="H19" i="4"/>
  <c r="H14" i="4"/>
  <c r="H23" i="4"/>
  <c r="F41" i="4"/>
  <c r="F33" i="4"/>
  <c r="F40" i="4"/>
  <c r="D16" i="4"/>
  <c r="D37" i="4"/>
  <c r="H39" i="4"/>
  <c r="F15" i="4"/>
  <c r="F16" i="4"/>
  <c r="D20" i="4"/>
  <c r="H22" i="4"/>
  <c r="H27" i="4"/>
  <c r="H31" i="4"/>
  <c r="F36" i="4"/>
  <c r="F37" i="4"/>
  <c r="H18" i="4"/>
  <c r="F27" i="4"/>
  <c r="D36" i="4"/>
  <c r="F6" i="4"/>
  <c r="H6" i="4"/>
  <c r="H11" i="4"/>
  <c r="H15" i="4"/>
  <c r="F19" i="4"/>
  <c r="F20" i="4"/>
  <c r="D24" i="4"/>
  <c r="H26" i="4"/>
  <c r="D33" i="4"/>
  <c r="H35" i="4"/>
  <c r="H36" i="4"/>
  <c r="D40" i="4"/>
  <c r="D41" i="4"/>
  <c r="H43" i="4"/>
  <c r="B45" i="3"/>
  <c r="D45" i="3" s="1"/>
  <c r="J21" i="4"/>
  <c r="J34" i="4"/>
  <c r="J38" i="4"/>
  <c r="J11" i="4"/>
  <c r="J14" i="4"/>
  <c r="D17" i="4"/>
  <c r="J18" i="4"/>
  <c r="D21" i="4"/>
  <c r="J22" i="4"/>
  <c r="J26" i="4"/>
  <c r="J31" i="4"/>
  <c r="D34" i="4"/>
  <c r="J35" i="4"/>
  <c r="D38" i="4"/>
  <c r="J39" i="4"/>
  <c r="D42" i="4"/>
  <c r="J43" i="4"/>
  <c r="J6" i="4"/>
  <c r="D11" i="4"/>
  <c r="D14" i="4"/>
  <c r="J15" i="4"/>
  <c r="H16" i="4"/>
  <c r="F17" i="4"/>
  <c r="D18" i="4"/>
  <c r="J19" i="4"/>
  <c r="H20" i="4"/>
  <c r="F21" i="4"/>
  <c r="D22" i="4"/>
  <c r="J23" i="4"/>
  <c r="H24" i="4"/>
  <c r="F25" i="4"/>
  <c r="D26" i="4"/>
  <c r="J27" i="4"/>
  <c r="F30" i="4"/>
  <c r="D31" i="4"/>
  <c r="J32" i="4"/>
  <c r="H33" i="4"/>
  <c r="F34" i="4"/>
  <c r="D35" i="4"/>
  <c r="H37" i="4"/>
  <c r="F38" i="4"/>
  <c r="D39" i="4"/>
  <c r="H41" i="4"/>
  <c r="F42" i="4"/>
  <c r="D43" i="4"/>
  <c r="J17" i="4"/>
  <c r="J25" i="4"/>
  <c r="J30" i="4"/>
  <c r="J42" i="4"/>
  <c r="D25" i="4"/>
  <c r="D30" i="4"/>
  <c r="B8" i="3"/>
  <c r="B12" i="3"/>
  <c r="B14" i="3"/>
  <c r="B17" i="3"/>
  <c r="B21" i="3"/>
  <c r="B29" i="3"/>
  <c r="B36" i="3"/>
  <c r="B40" i="3"/>
  <c r="B44" i="3"/>
  <c r="B5" i="3"/>
  <c r="B7" i="3"/>
  <c r="B9" i="3"/>
  <c r="B13" i="3"/>
  <c r="B20" i="3"/>
  <c r="B24" i="3"/>
  <c r="B28" i="3"/>
  <c r="B35" i="3"/>
  <c r="B39" i="3"/>
  <c r="B43" i="3"/>
  <c r="B6" i="3"/>
  <c r="B10" i="3"/>
  <c r="B19" i="3"/>
  <c r="B23" i="3"/>
  <c r="B27" i="3"/>
  <c r="B31" i="3"/>
  <c r="B34" i="3"/>
  <c r="B38" i="3"/>
  <c r="B42" i="3"/>
  <c r="B46" i="3"/>
  <c r="B11" i="3"/>
  <c r="B15" i="3"/>
  <c r="B18" i="3"/>
  <c r="B22" i="3"/>
  <c r="B26" i="3"/>
  <c r="B30" i="3"/>
  <c r="B33" i="3"/>
  <c r="B37" i="3"/>
  <c r="B41" i="3"/>
  <c r="F45" i="3" l="1"/>
  <c r="F22" i="3"/>
  <c r="D22" i="3"/>
  <c r="F35" i="3"/>
  <c r="D35" i="3"/>
  <c r="F13" i="3"/>
  <c r="D13" i="3"/>
  <c r="F44" i="3"/>
  <c r="D44" i="3"/>
  <c r="F33" i="3"/>
  <c r="D33" i="3"/>
  <c r="F18" i="3"/>
  <c r="D18" i="3"/>
  <c r="D42" i="3"/>
  <c r="F42" i="3"/>
  <c r="D27" i="3"/>
  <c r="F27" i="3"/>
  <c r="D6" i="3"/>
  <c r="F6" i="3"/>
  <c r="F28" i="3"/>
  <c r="D28" i="3"/>
  <c r="F40" i="3"/>
  <c r="D40" i="3"/>
  <c r="F21" i="3"/>
  <c r="D21" i="3"/>
  <c r="F30" i="3"/>
  <c r="D30" i="3"/>
  <c r="D38" i="3"/>
  <c r="F38" i="3"/>
  <c r="D23" i="3"/>
  <c r="F23" i="3"/>
  <c r="F43" i="3"/>
  <c r="D43" i="3"/>
  <c r="F24" i="3"/>
  <c r="D24" i="3"/>
  <c r="F7" i="3"/>
  <c r="D7" i="3"/>
  <c r="F36" i="3"/>
  <c r="D36" i="3"/>
  <c r="F17" i="3"/>
  <c r="D17" i="3"/>
  <c r="F37" i="3"/>
  <c r="D37" i="3"/>
  <c r="D46" i="3"/>
  <c r="F46" i="3"/>
  <c r="F25" i="3"/>
  <c r="D25" i="3"/>
  <c r="F41" i="3"/>
  <c r="D41" i="3"/>
  <c r="F26" i="3"/>
  <c r="D26" i="3"/>
  <c r="D34" i="3"/>
  <c r="F34" i="3"/>
  <c r="D19" i="3"/>
  <c r="F19" i="3"/>
  <c r="F39" i="3"/>
  <c r="D39" i="3"/>
  <c r="F20" i="3"/>
  <c r="D20" i="3"/>
  <c r="F29" i="3"/>
  <c r="D29" i="3"/>
  <c r="F14" i="3"/>
  <c r="D14" i="3"/>
</calcChain>
</file>

<file path=xl/sharedStrings.xml><?xml version="1.0" encoding="utf-8"?>
<sst xmlns="http://schemas.openxmlformats.org/spreadsheetml/2006/main" count="389" uniqueCount="132">
  <si>
    <t>Patient's Name:</t>
  </si>
  <si>
    <r>
      <t xml:space="preserve">Enter amount of </t>
    </r>
    <r>
      <rPr>
        <b/>
        <sz val="12"/>
        <color rgb="FF00B050"/>
        <rFont val="Arial"/>
        <family val="2"/>
      </rPr>
      <t>Protein Equivalents</t>
    </r>
    <r>
      <rPr>
        <b/>
        <sz val="10"/>
        <rFont val="Arial"/>
        <family val="2"/>
      </rPr>
      <t xml:space="preserve"> needed in grams in yellow box</t>
    </r>
  </si>
  <si>
    <t>NUTRICIA NORTH AMERICA</t>
  </si>
  <si>
    <t>DRI 0-6 months</t>
  </si>
  <si>
    <t>% of DRI 0-6 months</t>
  </si>
  <si>
    <t>DRI 7-12 months</t>
  </si>
  <si>
    <t>% DRI 7-12 months</t>
  </si>
  <si>
    <t>Product, g</t>
  </si>
  <si>
    <t>Calories</t>
  </si>
  <si>
    <t>Protein Equivalent, g</t>
  </si>
  <si>
    <t>Fat, g</t>
  </si>
  <si>
    <t xml:space="preserve">  Saturated Fat, g</t>
  </si>
  <si>
    <t xml:space="preserve">  Monounsaturated Fat, g</t>
  </si>
  <si>
    <t xml:space="preserve">  Polyunsaturated Fat, g</t>
  </si>
  <si>
    <t xml:space="preserve">  DHA, mg</t>
  </si>
  <si>
    <t xml:space="preserve">  ARA, mg</t>
  </si>
  <si>
    <t xml:space="preserve">  Linoleic Acid, mg</t>
  </si>
  <si>
    <t>Carbohydrate, g</t>
  </si>
  <si>
    <t xml:space="preserve">  Soluble Fiber, g</t>
  </si>
  <si>
    <t>VITAMINS</t>
  </si>
  <si>
    <t>Vit A, mcg</t>
  </si>
  <si>
    <t>Vit D, mcg</t>
  </si>
  <si>
    <t>Vit K, mcg</t>
  </si>
  <si>
    <t>Thiamin, mg</t>
  </si>
  <si>
    <t>Riboflavin, mg</t>
  </si>
  <si>
    <t>Vit B6, mg</t>
  </si>
  <si>
    <t>Vit B12, mcg</t>
  </si>
  <si>
    <t>Folic Acid, mcg</t>
  </si>
  <si>
    <t>Pantothenic Acid, mg</t>
  </si>
  <si>
    <t>Biotin, mcg</t>
  </si>
  <si>
    <t>Vit C, mg</t>
  </si>
  <si>
    <t>Choline, mg</t>
  </si>
  <si>
    <t>Inositol, mg</t>
  </si>
  <si>
    <t>N/A</t>
  </si>
  <si>
    <t>MINERALS</t>
  </si>
  <si>
    <t>Calcium, mg</t>
  </si>
  <si>
    <t>Phosphorus, mg</t>
  </si>
  <si>
    <t>Magnesium, mg</t>
  </si>
  <si>
    <t>Iron, mg</t>
  </si>
  <si>
    <t>Zinc, mg</t>
  </si>
  <si>
    <t>Manganese, mg</t>
  </si>
  <si>
    <t>Copper, mcg</t>
  </si>
  <si>
    <t>Iodine, mcg</t>
  </si>
  <si>
    <t>Molybdenum, mcg</t>
  </si>
  <si>
    <t>Chromium, mcg</t>
  </si>
  <si>
    <t>Selenium, mcg</t>
  </si>
  <si>
    <t>Sodium, mg</t>
  </si>
  <si>
    <t>Potassium, mg</t>
  </si>
  <si>
    <t>Chloride, mg</t>
  </si>
  <si>
    <r>
      <t>Bold</t>
    </r>
    <r>
      <rPr>
        <sz val="11"/>
        <color theme="1"/>
        <rFont val="Calibri"/>
        <family val="2"/>
        <scheme val="minor"/>
      </rPr>
      <t xml:space="preserve"> Numbers represent RDAs and non-bolded numbers represent AIs</t>
    </r>
  </si>
  <si>
    <t>DRI 1-3 years old</t>
  </si>
  <si>
    <t>% DRI 1-3 years old</t>
  </si>
  <si>
    <t>DRI 4-8 years old</t>
  </si>
  <si>
    <t>% DRI 4-8 years old</t>
  </si>
  <si>
    <t>DRI 9-13        years old (M)</t>
  </si>
  <si>
    <t>% DRI 9-13 years old (M)</t>
  </si>
  <si>
    <t>DRI 9-13 years old (F)</t>
  </si>
  <si>
    <t>% DRI 9-13 years old (F)</t>
  </si>
  <si>
    <t xml:space="preserve">Calories </t>
  </si>
  <si>
    <t xml:space="preserve">MINERALS </t>
  </si>
  <si>
    <r>
      <t xml:space="preserve">Type desired grams of 
</t>
    </r>
    <r>
      <rPr>
        <b/>
        <sz val="12"/>
        <color indexed="17"/>
        <rFont val="Arial"/>
        <family val="2"/>
      </rPr>
      <t>Protein Equivalents</t>
    </r>
    <r>
      <rPr>
        <b/>
        <sz val="10"/>
        <rFont val="Arial"/>
        <family val="2"/>
      </rPr>
      <t xml:space="preserve"> in the YELLOW box</t>
    </r>
  </si>
  <si>
    <t>10 Step transition guide</t>
  </si>
  <si>
    <r>
      <t xml:space="preserve">10 Step Transition </t>
    </r>
    <r>
      <rPr>
        <sz val="10"/>
        <color rgb="FFFF0000"/>
        <rFont val="Arial Rounded MT Bold"/>
        <family val="2"/>
      </rPr>
      <t xml:space="preserve"> (suggested)</t>
    </r>
  </si>
  <si>
    <t>Step 1</t>
  </si>
  <si>
    <t>Step 2</t>
  </si>
  <si>
    <t>Step 3</t>
  </si>
  <si>
    <t>Step 4</t>
  </si>
  <si>
    <t>Step 5</t>
  </si>
  <si>
    <t>Step 6</t>
  </si>
  <si>
    <t>Step 7</t>
  </si>
  <si>
    <t>Step 8</t>
  </si>
  <si>
    <t>Step 9</t>
  </si>
  <si>
    <t>Step 10</t>
  </si>
  <si>
    <t xml:space="preserve">  Fiber, g</t>
  </si>
  <si>
    <t>7 Step 
transition guide</t>
  </si>
  <si>
    <t>7 Step Transition</t>
  </si>
  <si>
    <t xml:space="preserve"> </t>
  </si>
  <si>
    <t>4 Step 
transition guide</t>
  </si>
  <si>
    <t>4 Step Transition</t>
  </si>
  <si>
    <r>
      <t xml:space="preserve">10 Step Transition  </t>
    </r>
    <r>
      <rPr>
        <sz val="10"/>
        <color rgb="FFFF0000"/>
        <rFont val="Arial Rounded MT Bold"/>
        <family val="2"/>
      </rPr>
      <t>(suggested)</t>
    </r>
  </si>
  <si>
    <t>©2015 Nutricia North America. All Rights Reserved.</t>
  </si>
  <si>
    <r>
      <t>GA-1 Anamix</t>
    </r>
    <r>
      <rPr>
        <sz val="14"/>
        <rFont val="Calibri"/>
        <family val="2"/>
      </rPr>
      <t>®</t>
    </r>
    <r>
      <rPr>
        <sz val="14"/>
        <rFont val="Arial Black"/>
        <family val="2"/>
      </rPr>
      <t xml:space="preserve"> Early Years</t>
    </r>
  </si>
  <si>
    <t>Soluble Fiber, g</t>
  </si>
  <si>
    <t>GA1 Anamix Early Years, g</t>
  </si>
  <si>
    <t>GlutarAde Essential, g</t>
  </si>
  <si>
    <t>GlutarAde™ Essential GA-1</t>
  </si>
  <si>
    <r>
      <t>GlutarAde</t>
    </r>
    <r>
      <rPr>
        <sz val="14"/>
        <rFont val="Calibri"/>
        <family val="2"/>
      </rPr>
      <t>™</t>
    </r>
    <r>
      <rPr>
        <sz val="14"/>
        <rFont val="Arial Black"/>
        <family val="2"/>
      </rPr>
      <t xml:space="preserve"> Junior GA-1</t>
    </r>
  </si>
  <si>
    <r>
      <t>Glutarex</t>
    </r>
    <r>
      <rPr>
        <sz val="11"/>
        <color theme="1"/>
        <rFont val="Calibri"/>
        <family val="2"/>
      </rPr>
      <t>®</t>
    </r>
    <r>
      <rPr>
        <sz val="8.8000000000000007"/>
        <color theme="1"/>
        <rFont val="Calibri"/>
        <family val="2"/>
      </rPr>
      <t>-</t>
    </r>
    <r>
      <rPr>
        <sz val="11"/>
        <color theme="1"/>
        <rFont val="Calibri"/>
        <family val="2"/>
      </rPr>
      <t>1 is a registered trademark of Abbott Laboratories</t>
    </r>
  </si>
  <si>
    <r>
      <t>GA</t>
    </r>
    <r>
      <rPr>
        <sz val="11"/>
        <color theme="1"/>
        <rFont val="Calibri"/>
        <family val="2"/>
      </rPr>
      <t xml:space="preserve"> is a product of Mead Johnson &amp; Company, LLC</t>
    </r>
  </si>
  <si>
    <t>http://www.meadjohnson.com/pediatrics/us-en/product-information/products/metabolics/ga.  Accessed on May 2015.</t>
  </si>
  <si>
    <t>GA is a product of Mead Johnson &amp; Company, LLC</t>
  </si>
  <si>
    <t>http://abbottnutrition.com/brands/products/glutarex-1.  Accessed on May 2015.</t>
  </si>
  <si>
    <r>
      <t>Glutarex</t>
    </r>
    <r>
      <rPr>
        <sz val="11"/>
        <color theme="1"/>
        <rFont val="Calibri"/>
        <family val="2"/>
      </rPr>
      <t>®-</t>
    </r>
    <r>
      <rPr>
        <sz val="11"/>
        <color theme="1"/>
        <rFont val="Calibri"/>
        <family val="2"/>
        <scheme val="minor"/>
      </rPr>
      <t>1 is a registered trademark of Abbott Laboratories</t>
    </r>
  </si>
  <si>
    <r>
      <t>Transition from Abbott's Glutarex</t>
    </r>
    <r>
      <rPr>
        <u/>
        <sz val="14"/>
        <color theme="1"/>
        <rFont val="Calibri"/>
        <family val="2"/>
      </rPr>
      <t>®</t>
    </r>
    <r>
      <rPr>
        <i/>
        <u/>
        <sz val="14"/>
        <color theme="1"/>
        <rFont val="Arial Rounded MT Bold"/>
        <family val="2"/>
      </rPr>
      <t>-1</t>
    </r>
    <r>
      <rPr>
        <i/>
        <u/>
        <sz val="14"/>
        <color indexed="8"/>
        <rFont val="Arial Rounded MT Bold"/>
        <family val="2"/>
      </rPr>
      <t xml:space="preserve"> 
to Nutricia's
GA-1 Anamix</t>
    </r>
    <r>
      <rPr>
        <u/>
        <vertAlign val="superscript"/>
        <sz val="14"/>
        <color indexed="8"/>
        <rFont val="Arial Rounded MT Bold"/>
        <family val="2"/>
      </rPr>
      <t>®</t>
    </r>
    <r>
      <rPr>
        <i/>
        <u/>
        <sz val="14"/>
        <color indexed="8"/>
        <rFont val="Arial Rounded MT Bold"/>
        <family val="2"/>
      </rPr>
      <t xml:space="preserve"> Early Years</t>
    </r>
  </si>
  <si>
    <r>
      <t>Transition from 
Mead Johnson's GA</t>
    </r>
    <r>
      <rPr>
        <i/>
        <u/>
        <sz val="12.6"/>
        <color theme="1"/>
        <rFont val="Arial Rounded MT Bold"/>
        <family val="2"/>
      </rPr>
      <t xml:space="preserve">
</t>
    </r>
    <r>
      <rPr>
        <i/>
        <u/>
        <sz val="14"/>
        <color indexed="8"/>
        <rFont val="Arial Rounded MT Bold"/>
        <family val="2"/>
      </rPr>
      <t>to Nutricia's 
GA-1 Anamix</t>
    </r>
    <r>
      <rPr>
        <u/>
        <vertAlign val="superscript"/>
        <sz val="14"/>
        <color indexed="8"/>
        <rFont val="Arial Rounded MT Bold"/>
        <family val="2"/>
      </rPr>
      <t>®</t>
    </r>
    <r>
      <rPr>
        <i/>
        <u/>
        <sz val="14"/>
        <color indexed="8"/>
        <rFont val="Arial Rounded MT Bold"/>
        <family val="2"/>
      </rPr>
      <t xml:space="preserve"> Early Years</t>
    </r>
  </si>
  <si>
    <t>XLys, XTrp 
Analog™</t>
  </si>
  <si>
    <r>
      <t>GA-1 Anamix</t>
    </r>
    <r>
      <rPr>
        <sz val="14"/>
        <color theme="1"/>
        <rFont val="Calibri"/>
        <family val="2"/>
      </rPr>
      <t>®</t>
    </r>
    <r>
      <rPr>
        <sz val="14"/>
        <color theme="1"/>
        <rFont val="Arial"/>
        <family val="2"/>
      </rPr>
      <t xml:space="preserve"> Early Years</t>
    </r>
  </si>
  <si>
    <r>
      <t>XLys, XTrp  Maxamaid</t>
    </r>
    <r>
      <rPr>
        <vertAlign val="superscript"/>
        <sz val="14"/>
        <color theme="0"/>
        <rFont val="Arial"/>
        <family val="2"/>
      </rPr>
      <t>®</t>
    </r>
  </si>
  <si>
    <r>
      <t>XLys, XTrp Maxamum</t>
    </r>
    <r>
      <rPr>
        <sz val="14"/>
        <color theme="0"/>
        <rFont val="Calibri"/>
        <family val="2"/>
      </rPr>
      <t>®</t>
    </r>
  </si>
  <si>
    <r>
      <t xml:space="preserve">Type grams of 
</t>
    </r>
    <r>
      <rPr>
        <b/>
        <sz val="12"/>
        <color rgb="FF00B050"/>
        <rFont val="Arial"/>
        <family val="2"/>
      </rPr>
      <t>Protein Equivalents</t>
    </r>
    <r>
      <rPr>
        <b/>
        <sz val="12"/>
        <rFont val="Arial"/>
        <family val="2"/>
      </rPr>
      <t xml:space="preserve"> in yellow box</t>
    </r>
  </si>
  <si>
    <r>
      <t xml:space="preserve">Amount of Formula
</t>
    </r>
    <r>
      <rPr>
        <b/>
        <sz val="8"/>
        <color theme="1"/>
        <rFont val="Arial"/>
        <family val="2"/>
      </rPr>
      <t>g of powder
fluid mL</t>
    </r>
  </si>
  <si>
    <t>Carbohydrates, g</t>
  </si>
  <si>
    <t xml:space="preserve">     Fiber, g</t>
  </si>
  <si>
    <t xml:space="preserve">     DHA, mg</t>
  </si>
  <si>
    <t xml:space="preserve">     ARA, mg</t>
  </si>
  <si>
    <t>Macronutrient Percentage</t>
  </si>
  <si>
    <t>Carbohydrates</t>
  </si>
  <si>
    <t>Protein Equivalent</t>
  </si>
  <si>
    <t xml:space="preserve">Fat </t>
  </si>
  <si>
    <t>young children</t>
  </si>
  <si>
    <t>older children &amp; adults (including pregnant woman)</t>
  </si>
  <si>
    <t>children &amp; adults</t>
  </si>
  <si>
    <t>Nutricia North America GA-1 Product Portfolio</t>
  </si>
  <si>
    <t>Comparison of grams of PE</t>
  </si>
  <si>
    <t xml:space="preserve">Age Indication:  </t>
  </si>
  <si>
    <t>Glutarex-1, g</t>
  </si>
  <si>
    <t>GA, g</t>
  </si>
  <si>
    <t>GA-1 Anamix Early Years, g</t>
  </si>
  <si>
    <t>XLys, XTrp Analog, g</t>
  </si>
  <si>
    <r>
      <t>GlutarAde</t>
    </r>
    <r>
      <rPr>
        <sz val="14"/>
        <rFont val="Calibri"/>
        <family val="2"/>
      </rPr>
      <t>™</t>
    </r>
    <r>
      <rPr>
        <sz val="14"/>
        <rFont val="Arial"/>
        <family val="2"/>
      </rPr>
      <t xml:space="preserve"> Jr GA-1</t>
    </r>
  </si>
  <si>
    <t>GlutarAde™ Amino Acid Blend</t>
  </si>
  <si>
    <r>
      <rPr>
        <b/>
        <sz val="14"/>
        <color indexed="8"/>
        <rFont val="Arial Rounded MT Bold"/>
        <family val="2"/>
      </rPr>
      <t>Welcome to the GA-1 Interactive Tool</t>
    </r>
    <r>
      <rPr>
        <sz val="12"/>
        <color indexed="8"/>
        <rFont val="Arial Rounded MT Bold"/>
        <family val="2"/>
      </rPr>
      <t xml:space="preserve">
Our Medical Affairs team developed these worksheets to aid in transitioning your patients throughout the Nutricia product portfolio.
</t>
    </r>
    <r>
      <rPr>
        <i/>
        <sz val="11"/>
        <color indexed="8"/>
        <rFont val="Arial Rounded MT Bold"/>
        <family val="2"/>
      </rPr>
      <t xml:space="preserve">
</t>
    </r>
    <r>
      <rPr>
        <i/>
        <sz val="11"/>
        <color theme="6" tint="-0.499984740745262"/>
        <rFont val="Arial Rounded MT Bold"/>
        <family val="2"/>
      </rPr>
      <t xml:space="preserve">Nutricia North America kindly requests that this calculator not be shared with anyone who is not a licensed or certified healthcare provider. </t>
    </r>
  </si>
  <si>
    <r>
      <t xml:space="preserve">Transition from 
</t>
    </r>
    <r>
      <rPr>
        <u/>
        <sz val="14"/>
        <color theme="1"/>
        <rFont val="Arial Rounded MT Bold"/>
        <family val="2"/>
      </rPr>
      <t>XLys, XTrp Analog</t>
    </r>
    <r>
      <rPr>
        <u/>
        <sz val="14"/>
        <color theme="1"/>
        <rFont val="Calibri"/>
        <family val="2"/>
      </rPr>
      <t>™</t>
    </r>
    <r>
      <rPr>
        <u/>
        <sz val="14"/>
        <color theme="1"/>
        <rFont val="Arial Rounded MT Bold"/>
        <family val="2"/>
      </rPr>
      <t xml:space="preserve"> </t>
    </r>
    <r>
      <rPr>
        <i/>
        <u/>
        <sz val="14"/>
        <color indexed="8"/>
        <rFont val="Arial Rounded MT Bold"/>
        <family val="2"/>
      </rPr>
      <t>to
GA-1 Anamix</t>
    </r>
    <r>
      <rPr>
        <u/>
        <vertAlign val="superscript"/>
        <sz val="14"/>
        <color indexed="8"/>
        <rFont val="Arial Rounded MT Bold"/>
        <family val="2"/>
      </rPr>
      <t>®</t>
    </r>
    <r>
      <rPr>
        <i/>
        <u/>
        <sz val="14"/>
        <color indexed="8"/>
        <rFont val="Arial Rounded MT Bold"/>
        <family val="2"/>
      </rPr>
      <t xml:space="preserve"> Early Years</t>
    </r>
  </si>
  <si>
    <r>
      <t>Transition from 
GA-1 Anamix</t>
    </r>
    <r>
      <rPr>
        <u/>
        <sz val="14"/>
        <color theme="1"/>
        <rFont val="Calibri"/>
        <family val="2"/>
      </rPr>
      <t>®</t>
    </r>
    <r>
      <rPr>
        <i/>
        <u/>
        <sz val="14"/>
        <color theme="1"/>
        <rFont val="Arial Rounded MT Bold"/>
        <family val="2"/>
      </rPr>
      <t xml:space="preserve"> Early Years</t>
    </r>
    <r>
      <rPr>
        <i/>
        <u/>
        <sz val="14"/>
        <color indexed="8"/>
        <rFont val="Arial Rounded MT Bold"/>
        <family val="2"/>
      </rPr>
      <t xml:space="preserve"> to 
GlutarAde</t>
    </r>
    <r>
      <rPr>
        <u/>
        <sz val="14"/>
        <color indexed="8"/>
        <rFont val="Calibri"/>
        <family val="2"/>
      </rPr>
      <t>™</t>
    </r>
    <r>
      <rPr>
        <i/>
        <u/>
        <sz val="14"/>
        <color indexed="8"/>
        <rFont val="Arial Rounded MT Bold"/>
        <family val="2"/>
      </rPr>
      <t xml:space="preserve"> Essential</t>
    </r>
  </si>
  <si>
    <t>infants &amp; as
supplementary feed up to 3 yrs</t>
  </si>
  <si>
    <t>infants
0-12 mos</t>
  </si>
  <si>
    <t>Vit E, mg α T.E.</t>
  </si>
  <si>
    <t>Niacin, mg</t>
  </si>
  <si>
    <t>Niacin, g</t>
  </si>
  <si>
    <t>Saturated Fat, g</t>
  </si>
  <si>
    <t>Monounsaturated Fat, g</t>
  </si>
  <si>
    <t>Polyunsaturated Fat,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</si>
</sst>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rgb="FF00B050"/>
      <name val="Arial"/>
      <family val="2"/>
    </font>
    <font>
      <b/>
      <sz val="18"/>
      <name val="Arial"/>
      <family val="2"/>
    </font>
    <font>
      <sz val="16"/>
      <name val="Arial Black"/>
      <family val="2"/>
    </font>
    <font>
      <sz val="16"/>
      <name val="Arial"/>
      <family val="2"/>
    </font>
    <font>
      <sz val="14"/>
      <name val="Arial Black"/>
      <family val="2"/>
    </font>
    <font>
      <sz val="14"/>
      <name val="Calibri"/>
      <family val="2"/>
    </font>
    <font>
      <sz val="14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color indexed="8"/>
      <name val="Arial Black"/>
      <family val="2"/>
    </font>
    <font>
      <sz val="12"/>
      <color theme="1"/>
      <name val="Calibri"/>
      <family val="2"/>
      <scheme val="minor"/>
    </font>
    <font>
      <sz val="12"/>
      <name val="Arial Black"/>
      <family val="2"/>
    </font>
    <font>
      <sz val="11"/>
      <color theme="1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i/>
      <sz val="11"/>
      <color theme="1"/>
      <name val="Arial"/>
      <family val="2"/>
    </font>
    <font>
      <b/>
      <i/>
      <sz val="10"/>
      <color indexed="8"/>
      <name val="Arial"/>
      <family val="2"/>
    </font>
    <font>
      <sz val="12"/>
      <color theme="1"/>
      <name val="Arial Black"/>
      <family val="2"/>
    </font>
    <font>
      <b/>
      <sz val="12"/>
      <color indexed="17"/>
      <name val="Arial"/>
      <family val="2"/>
    </font>
    <font>
      <i/>
      <u/>
      <sz val="14"/>
      <color theme="1"/>
      <name val="Arial Rounded MT Bold"/>
      <family val="2"/>
    </font>
    <font>
      <u/>
      <vertAlign val="superscript"/>
      <sz val="14"/>
      <color indexed="8"/>
      <name val="Arial Rounded MT Bold"/>
      <family val="2"/>
    </font>
    <font>
      <i/>
      <u/>
      <sz val="14"/>
      <color indexed="8"/>
      <name val="Arial Rounded MT Bold"/>
      <family val="2"/>
    </font>
    <font>
      <b/>
      <sz val="16"/>
      <name val="Arial"/>
      <family val="2"/>
    </font>
    <font>
      <sz val="10"/>
      <color rgb="FFFF0000"/>
      <name val="Arial Rounded MT Bold"/>
      <family val="2"/>
    </font>
    <font>
      <sz val="8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1" tint="0.34998626667073579"/>
      <name val="Arial"/>
      <family val="2"/>
    </font>
    <font>
      <sz val="12"/>
      <color theme="1"/>
      <name val="Arial Rounded MT Bold"/>
      <family val="2"/>
    </font>
    <font>
      <b/>
      <sz val="14"/>
      <color indexed="8"/>
      <name val="Arial Rounded MT Bold"/>
      <family val="2"/>
    </font>
    <font>
      <sz val="12"/>
      <color indexed="8"/>
      <name val="Arial Rounded MT Bold"/>
      <family val="2"/>
    </font>
    <font>
      <i/>
      <sz val="11"/>
      <color indexed="8"/>
      <name val="Arial Rounded MT Bold"/>
      <family val="2"/>
    </font>
    <font>
      <sz val="11"/>
      <color rgb="FF7030A0"/>
      <name val="Calibri"/>
      <family val="2"/>
      <scheme val="minor"/>
    </font>
    <font>
      <sz val="10"/>
      <color theme="0"/>
      <name val="Arial"/>
      <family val="2"/>
    </font>
    <font>
      <u/>
      <sz val="14"/>
      <color theme="1"/>
      <name val="Calibri"/>
      <family val="2"/>
    </font>
    <font>
      <sz val="11"/>
      <name val="Calibri"/>
      <family val="2"/>
      <scheme val="minor"/>
    </font>
    <font>
      <i/>
      <u/>
      <sz val="12.6"/>
      <color theme="1"/>
      <name val="Arial Rounded MT Bold"/>
      <family val="2"/>
    </font>
    <font>
      <sz val="11"/>
      <color theme="1"/>
      <name val="Calibri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8.8000000000000007"/>
      <color theme="1"/>
      <name val="Calibri"/>
      <family val="2"/>
    </font>
    <font>
      <i/>
      <sz val="11"/>
      <color theme="6" tint="-0.499984740745262"/>
      <name val="Arial Rounded MT Bold"/>
      <family val="2"/>
    </font>
    <font>
      <u/>
      <sz val="14"/>
      <color indexed="8"/>
      <name val="Calibri"/>
      <family val="2"/>
    </font>
    <font>
      <sz val="22"/>
      <color theme="1"/>
      <name val="Arial Black"/>
      <family val="2"/>
    </font>
    <font>
      <b/>
      <sz val="14"/>
      <name val="Arial Black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Black"/>
      <family val="2"/>
    </font>
    <font>
      <b/>
      <sz val="12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</font>
    <font>
      <sz val="14"/>
      <name val="Arial"/>
      <family val="2"/>
    </font>
    <font>
      <sz val="14"/>
      <color theme="0"/>
      <name val="Arial"/>
      <family val="2"/>
    </font>
    <font>
      <vertAlign val="superscript"/>
      <sz val="14"/>
      <color theme="0"/>
      <name val="Arial"/>
      <family val="2"/>
    </font>
    <font>
      <sz val="14"/>
      <color theme="0"/>
      <name val="Calibri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b/>
      <sz val="12"/>
      <name val="Arial "/>
    </font>
    <font>
      <b/>
      <sz val="12"/>
      <color theme="0"/>
      <name val="Arial"/>
      <family val="2"/>
    </font>
    <font>
      <b/>
      <sz val="12"/>
      <color theme="0"/>
      <name val="Arial "/>
    </font>
    <font>
      <u/>
      <sz val="14"/>
      <color theme="1"/>
      <name val="Arial Rounded MT Bold"/>
      <family val="2"/>
    </font>
  </fonts>
  <fills count="3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theme="0"/>
        <bgColor indexed="2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2F0E0"/>
        <bgColor indexed="64"/>
      </patternFill>
    </fill>
    <fill>
      <patternFill patternType="solid">
        <fgColor rgb="FFC0E399"/>
        <bgColor indexed="64"/>
      </patternFill>
    </fill>
    <fill>
      <patternFill patternType="solid">
        <fgColor rgb="FFD0FFA1"/>
        <bgColor indexed="64"/>
      </patternFill>
    </fill>
    <fill>
      <patternFill patternType="solid">
        <fgColor rgb="FFD0FFA1"/>
        <bgColor indexed="2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C4D5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24997711111789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0" tint="-0.249977111117893"/>
      </top>
      <bottom style="thin">
        <color theme="2" tint="-0.249977111117893"/>
      </bottom>
      <diagonal/>
    </border>
    <border>
      <left/>
      <right/>
      <top/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 style="medium">
        <color indexed="64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7" tint="0.79998168889431442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3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medium">
        <color indexed="64"/>
      </left>
      <right style="medium">
        <color indexed="64"/>
      </right>
      <top style="thin">
        <color theme="3"/>
      </top>
      <bottom style="thin">
        <color theme="3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3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3"/>
      </bottom>
      <diagonal/>
    </border>
    <border>
      <left style="medium">
        <color indexed="64"/>
      </left>
      <right style="medium">
        <color indexed="64"/>
      </right>
      <top/>
      <bottom style="thin">
        <color theme="3" tint="-0.249977111117893"/>
      </bottom>
      <diagonal/>
    </border>
    <border diagonalDown="1">
      <left style="medium">
        <color indexed="64"/>
      </left>
      <right style="medium">
        <color indexed="64"/>
      </right>
      <top/>
      <bottom/>
      <diagonal style="thin">
        <color theme="2" tint="-0.249977111117893"/>
      </diagonal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3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9" fontId="50" fillId="0" borderId="0" applyFont="0" applyFill="0" applyBorder="0" applyAlignment="0" applyProtection="0"/>
  </cellStyleXfs>
  <cellXfs count="530">
    <xf numFmtId="0" fontId="0" fillId="0" borderId="0" xfId="0"/>
    <xf numFmtId="0" fontId="3" fillId="2" borderId="4" xfId="0" applyFont="1" applyFill="1" applyBorder="1" applyAlignment="1" applyProtection="1">
      <alignment horizontal="center" vertical="center" wrapText="1"/>
    </xf>
    <xf numFmtId="164" fontId="5" fillId="3" borderId="4" xfId="0" applyNumberFormat="1" applyFont="1" applyFill="1" applyBorder="1" applyAlignment="1" applyProtection="1">
      <alignment horizontal="center" vertical="center"/>
      <protection locked="0"/>
    </xf>
    <xf numFmtId="0" fontId="11" fillId="5" borderId="8" xfId="0" applyFont="1" applyFill="1" applyBorder="1" applyAlignment="1" applyProtection="1">
      <alignment horizontal="left"/>
    </xf>
    <xf numFmtId="164" fontId="12" fillId="5" borderId="9" xfId="0" applyNumberFormat="1" applyFont="1" applyFill="1" applyBorder="1" applyAlignment="1" applyProtection="1"/>
    <xf numFmtId="0" fontId="12" fillId="5" borderId="9" xfId="0" applyFont="1" applyFill="1" applyBorder="1" applyAlignment="1" applyProtection="1"/>
    <xf numFmtId="9" fontId="12" fillId="5" borderId="9" xfId="0" applyNumberFormat="1" applyFont="1" applyFill="1" applyBorder="1" applyAlignment="1" applyProtection="1"/>
    <xf numFmtId="9" fontId="12" fillId="5" borderId="10" xfId="0" applyNumberFormat="1" applyFont="1" applyFill="1" applyBorder="1" applyAlignment="1" applyProtection="1"/>
    <xf numFmtId="0" fontId="11" fillId="6" borderId="11" xfId="0" applyFont="1" applyFill="1" applyBorder="1" applyAlignment="1" applyProtection="1">
      <alignment horizontal="left"/>
    </xf>
    <xf numFmtId="164" fontId="12" fillId="6" borderId="12" xfId="0" applyNumberFormat="1" applyFont="1" applyFill="1" applyBorder="1" applyAlignment="1" applyProtection="1"/>
    <xf numFmtId="0" fontId="12" fillId="6" borderId="12" xfId="0" applyFont="1" applyFill="1" applyBorder="1" applyAlignment="1" applyProtection="1"/>
    <xf numFmtId="9" fontId="12" fillId="6" borderId="12" xfId="0" applyNumberFormat="1" applyFont="1" applyFill="1" applyBorder="1" applyAlignment="1" applyProtection="1"/>
    <xf numFmtId="9" fontId="12" fillId="6" borderId="13" xfId="0" applyNumberFormat="1" applyFont="1" applyFill="1" applyBorder="1" applyAlignment="1" applyProtection="1"/>
    <xf numFmtId="0" fontId="11" fillId="5" borderId="14" xfId="0" applyFont="1" applyFill="1" applyBorder="1" applyAlignment="1" applyProtection="1">
      <alignment horizontal="left"/>
    </xf>
    <xf numFmtId="164" fontId="12" fillId="5" borderId="15" xfId="0" applyNumberFormat="1" applyFont="1" applyFill="1" applyBorder="1" applyAlignment="1" applyProtection="1"/>
    <xf numFmtId="0" fontId="12" fillId="5" borderId="15" xfId="0" applyFont="1" applyFill="1" applyBorder="1" applyAlignment="1" applyProtection="1"/>
    <xf numFmtId="9" fontId="12" fillId="5" borderId="15" xfId="0" applyNumberFormat="1" applyFont="1" applyFill="1" applyBorder="1" applyAlignment="1" applyProtection="1"/>
    <xf numFmtId="0" fontId="11" fillId="5" borderId="15" xfId="0" applyFont="1" applyFill="1" applyBorder="1" applyAlignment="1" applyProtection="1"/>
    <xf numFmtId="9" fontId="11" fillId="5" borderId="16" xfId="0" applyNumberFormat="1" applyFont="1" applyFill="1" applyBorder="1" applyAlignment="1" applyProtection="1"/>
    <xf numFmtId="0" fontId="13" fillId="6" borderId="11" xfId="0" applyFont="1" applyFill="1" applyBorder="1" applyAlignment="1" applyProtection="1">
      <alignment horizontal="left"/>
    </xf>
    <xf numFmtId="9" fontId="12" fillId="6" borderId="17" xfId="0" applyNumberFormat="1" applyFont="1" applyFill="1" applyBorder="1" applyAlignment="1" applyProtection="1"/>
    <xf numFmtId="0" fontId="13" fillId="5" borderId="11" xfId="0" applyFont="1" applyFill="1" applyBorder="1" applyAlignment="1" applyProtection="1">
      <alignment horizontal="left"/>
    </xf>
    <xf numFmtId="164" fontId="12" fillId="5" borderId="12" xfId="0" applyNumberFormat="1" applyFont="1" applyFill="1" applyBorder="1" applyAlignment="1" applyProtection="1"/>
    <xf numFmtId="0" fontId="12" fillId="5" borderId="12" xfId="0" applyFont="1" applyFill="1" applyBorder="1" applyAlignment="1" applyProtection="1"/>
    <xf numFmtId="9" fontId="12" fillId="5" borderId="12" xfId="0" applyNumberFormat="1" applyFont="1" applyFill="1" applyBorder="1" applyAlignment="1" applyProtection="1"/>
    <xf numFmtId="9" fontId="12" fillId="5" borderId="17" xfId="0" applyNumberFormat="1" applyFont="1" applyFill="1" applyBorder="1" applyAlignment="1" applyProtection="1"/>
    <xf numFmtId="0" fontId="13" fillId="0" borderId="11" xfId="0" applyFont="1" applyFill="1" applyBorder="1" applyAlignment="1" applyProtection="1">
      <alignment horizontal="left"/>
    </xf>
    <xf numFmtId="164" fontId="12" fillId="0" borderId="12" xfId="0" applyNumberFormat="1" applyFont="1" applyFill="1" applyBorder="1" applyAlignment="1" applyProtection="1"/>
    <xf numFmtId="0" fontId="12" fillId="0" borderId="12" xfId="0" applyFont="1" applyFill="1" applyBorder="1" applyAlignment="1" applyProtection="1"/>
    <xf numFmtId="9" fontId="12" fillId="0" borderId="12" xfId="0" applyNumberFormat="1" applyFont="1" applyFill="1" applyBorder="1" applyAlignment="1" applyProtection="1"/>
    <xf numFmtId="9" fontId="12" fillId="0" borderId="17" xfId="0" applyNumberFormat="1" applyFont="1" applyFill="1" applyBorder="1" applyAlignment="1" applyProtection="1"/>
    <xf numFmtId="0" fontId="13" fillId="7" borderId="11" xfId="0" applyFont="1" applyFill="1" applyBorder="1" applyAlignment="1" applyProtection="1">
      <alignment horizontal="left"/>
    </xf>
    <xf numFmtId="164" fontId="12" fillId="7" borderId="12" xfId="0" applyNumberFormat="1" applyFont="1" applyFill="1" applyBorder="1" applyAlignment="1" applyProtection="1"/>
    <xf numFmtId="0" fontId="12" fillId="7" borderId="12" xfId="0" applyFont="1" applyFill="1" applyBorder="1" applyAlignment="1" applyProtection="1"/>
    <xf numFmtId="9" fontId="12" fillId="7" borderId="12" xfId="0" applyNumberFormat="1" applyFont="1" applyFill="1" applyBorder="1" applyAlignment="1" applyProtection="1"/>
    <xf numFmtId="9" fontId="12" fillId="7" borderId="17" xfId="0" applyNumberFormat="1" applyFont="1" applyFill="1" applyBorder="1" applyAlignment="1" applyProtection="1"/>
    <xf numFmtId="0" fontId="13" fillId="8" borderId="11" xfId="0" applyFont="1" applyFill="1" applyBorder="1" applyAlignment="1" applyProtection="1">
      <alignment horizontal="left"/>
    </xf>
    <xf numFmtId="164" fontId="12" fillId="8" borderId="12" xfId="0" applyNumberFormat="1" applyFont="1" applyFill="1" applyBorder="1" applyAlignment="1" applyProtection="1"/>
    <xf numFmtId="0" fontId="12" fillId="8" borderId="12" xfId="0" applyFont="1" applyFill="1" applyBorder="1" applyAlignment="1" applyProtection="1"/>
    <xf numFmtId="9" fontId="12" fillId="8" borderId="12" xfId="0" applyNumberFormat="1" applyFont="1" applyFill="1" applyBorder="1" applyAlignment="1" applyProtection="1"/>
    <xf numFmtId="9" fontId="12" fillId="8" borderId="17" xfId="0" applyNumberFormat="1" applyFont="1" applyFill="1" applyBorder="1" applyAlignment="1" applyProtection="1"/>
    <xf numFmtId="0" fontId="13" fillId="7" borderId="18" xfId="0" applyFont="1" applyFill="1" applyBorder="1" applyAlignment="1" applyProtection="1">
      <alignment horizontal="left"/>
    </xf>
    <xf numFmtId="1" fontId="12" fillId="7" borderId="19" xfId="0" applyNumberFormat="1" applyFont="1" applyFill="1" applyBorder="1" applyAlignment="1" applyProtection="1"/>
    <xf numFmtId="0" fontId="12" fillId="7" borderId="19" xfId="0" applyFont="1" applyFill="1" applyBorder="1" applyAlignment="1" applyProtection="1"/>
    <xf numFmtId="9" fontId="12" fillId="7" borderId="19" xfId="0" applyNumberFormat="1" applyFont="1" applyFill="1" applyBorder="1" applyAlignment="1" applyProtection="1"/>
    <xf numFmtId="9" fontId="12" fillId="7" borderId="20" xfId="0" applyNumberFormat="1" applyFont="1" applyFill="1" applyBorder="1" applyAlignment="1" applyProtection="1"/>
    <xf numFmtId="0" fontId="13" fillId="9" borderId="11" xfId="0" applyFont="1" applyFill="1" applyBorder="1" applyAlignment="1" applyProtection="1">
      <alignment horizontal="left"/>
    </xf>
    <xf numFmtId="164" fontId="12" fillId="9" borderId="12" xfId="0" applyNumberFormat="1" applyFont="1" applyFill="1" applyBorder="1" applyAlignment="1" applyProtection="1"/>
    <xf numFmtId="0" fontId="12" fillId="9" borderId="12" xfId="0" applyFont="1" applyFill="1" applyBorder="1" applyAlignment="1" applyProtection="1"/>
    <xf numFmtId="9" fontId="12" fillId="9" borderId="12" xfId="0" applyNumberFormat="1" applyFont="1" applyFill="1" applyBorder="1" applyAlignment="1" applyProtection="1"/>
    <xf numFmtId="9" fontId="12" fillId="9" borderId="17" xfId="0" applyNumberFormat="1" applyFont="1" applyFill="1" applyBorder="1" applyAlignment="1" applyProtection="1"/>
    <xf numFmtId="0" fontId="13" fillId="10" borderId="21" xfId="0" applyFont="1" applyFill="1" applyBorder="1" applyAlignment="1" applyProtection="1">
      <alignment horizontal="left"/>
    </xf>
    <xf numFmtId="164" fontId="12" fillId="10" borderId="22" xfId="0" applyNumberFormat="1" applyFont="1" applyFill="1" applyBorder="1" applyAlignment="1" applyProtection="1"/>
    <xf numFmtId="0" fontId="12" fillId="10" borderId="22" xfId="0" applyFont="1" applyFill="1" applyBorder="1" applyAlignment="1" applyProtection="1"/>
    <xf numFmtId="9" fontId="12" fillId="10" borderId="22" xfId="0" applyNumberFormat="1" applyFont="1" applyFill="1" applyBorder="1" applyAlignment="1" applyProtection="1"/>
    <xf numFmtId="9" fontId="12" fillId="10" borderId="23" xfId="0" applyNumberFormat="1" applyFont="1" applyFill="1" applyBorder="1" applyAlignment="1" applyProtection="1"/>
    <xf numFmtId="0" fontId="13" fillId="5" borderId="8" xfId="0" applyFont="1" applyFill="1" applyBorder="1" applyAlignment="1" applyProtection="1">
      <alignment horizontal="left"/>
    </xf>
    <xf numFmtId="9" fontId="12" fillId="5" borderId="24" xfId="0" applyNumberFormat="1" applyFont="1" applyFill="1" applyBorder="1" applyAlignment="1" applyProtection="1"/>
    <xf numFmtId="2" fontId="12" fillId="5" borderId="12" xfId="0" applyNumberFormat="1" applyFont="1" applyFill="1" applyBorder="1" applyAlignment="1" applyProtection="1"/>
    <xf numFmtId="2" fontId="12" fillId="6" borderId="12" xfId="0" applyNumberFormat="1" applyFont="1" applyFill="1" applyBorder="1" applyAlignment="1" applyProtection="1"/>
    <xf numFmtId="0" fontId="13" fillId="5" borderId="21" xfId="0" applyFont="1" applyFill="1" applyBorder="1" applyAlignment="1" applyProtection="1">
      <alignment horizontal="left"/>
    </xf>
    <xf numFmtId="164" fontId="12" fillId="5" borderId="25" xfId="0" applyNumberFormat="1" applyFont="1" applyFill="1" applyBorder="1" applyAlignment="1" applyProtection="1"/>
    <xf numFmtId="0" fontId="12" fillId="5" borderId="22" xfId="0" applyFont="1" applyFill="1" applyBorder="1" applyAlignment="1" applyProtection="1">
      <alignment horizontal="right"/>
    </xf>
    <xf numFmtId="0" fontId="12" fillId="5" borderId="22" xfId="0" applyFont="1" applyFill="1" applyBorder="1" applyAlignment="1" applyProtection="1"/>
    <xf numFmtId="0" fontId="12" fillId="5" borderId="23" xfId="0" applyFont="1" applyFill="1" applyBorder="1" applyAlignment="1" applyProtection="1"/>
    <xf numFmtId="164" fontId="12" fillId="11" borderId="9" xfId="0" applyNumberFormat="1" applyFont="1" applyFill="1" applyBorder="1" applyAlignment="1" applyProtection="1"/>
    <xf numFmtId="0" fontId="12" fillId="11" borderId="9" xfId="0" applyFont="1" applyFill="1" applyBorder="1" applyAlignment="1" applyProtection="1"/>
    <xf numFmtId="9" fontId="12" fillId="11" borderId="9" xfId="0" applyNumberFormat="1" applyFont="1" applyFill="1" applyBorder="1" applyAlignment="1" applyProtection="1"/>
    <xf numFmtId="9" fontId="12" fillId="11" borderId="24" xfId="0" applyNumberFormat="1" applyFont="1" applyFill="1" applyBorder="1" applyAlignment="1" applyProtection="1"/>
    <xf numFmtId="164" fontId="12" fillId="11" borderId="12" xfId="0" applyNumberFormat="1" applyFont="1" applyFill="1" applyBorder="1" applyAlignment="1" applyProtection="1"/>
    <xf numFmtId="0" fontId="12" fillId="11" borderId="12" xfId="0" applyFont="1" applyFill="1" applyBorder="1" applyAlignment="1" applyProtection="1"/>
    <xf numFmtId="9" fontId="12" fillId="11" borderId="12" xfId="0" applyNumberFormat="1" applyFont="1" applyFill="1" applyBorder="1" applyAlignment="1" applyProtection="1"/>
    <xf numFmtId="9" fontId="12" fillId="11" borderId="17" xfId="0" applyNumberFormat="1" applyFont="1" applyFill="1" applyBorder="1" applyAlignment="1" applyProtection="1"/>
    <xf numFmtId="0" fontId="11" fillId="0" borderId="12" xfId="0" applyFont="1" applyFill="1" applyBorder="1" applyAlignment="1" applyProtection="1"/>
    <xf numFmtId="9" fontId="11" fillId="0" borderId="17" xfId="0" applyNumberFormat="1" applyFont="1" applyFill="1" applyBorder="1" applyAlignment="1" applyProtection="1"/>
    <xf numFmtId="0" fontId="11" fillId="11" borderId="12" xfId="0" applyFont="1" applyFill="1" applyBorder="1" applyAlignment="1" applyProtection="1"/>
    <xf numFmtId="9" fontId="11" fillId="11" borderId="17" xfId="0" applyNumberFormat="1" applyFont="1" applyFill="1" applyBorder="1" applyAlignment="1" applyProtection="1"/>
    <xf numFmtId="2" fontId="12" fillId="0" borderId="12" xfId="0" applyNumberFormat="1" applyFont="1" applyFill="1" applyBorder="1" applyAlignment="1" applyProtection="1"/>
    <xf numFmtId="0" fontId="12" fillId="0" borderId="12" xfId="0" applyFont="1" applyFill="1" applyBorder="1" applyAlignment="1" applyProtection="1">
      <alignment horizontal="right"/>
    </xf>
    <xf numFmtId="0" fontId="12" fillId="11" borderId="12" xfId="0" applyFont="1" applyFill="1" applyBorder="1" applyAlignment="1" applyProtection="1">
      <alignment horizontal="right"/>
    </xf>
    <xf numFmtId="0" fontId="13" fillId="6" borderId="18" xfId="0" applyFont="1" applyFill="1" applyBorder="1" applyAlignment="1" applyProtection="1">
      <alignment horizontal="left"/>
    </xf>
    <xf numFmtId="0" fontId="12" fillId="0" borderId="19" xfId="0" applyFont="1" applyFill="1" applyBorder="1" applyAlignment="1" applyProtection="1">
      <alignment horizontal="right"/>
    </xf>
    <xf numFmtId="9" fontId="12" fillId="0" borderId="19" xfId="0" applyNumberFormat="1" applyFont="1" applyFill="1" applyBorder="1" applyAlignment="1" applyProtection="1"/>
    <xf numFmtId="9" fontId="12" fillId="0" borderId="20" xfId="0" applyNumberFormat="1" applyFont="1" applyFill="1" applyBorder="1" applyAlignment="1" applyProtection="1"/>
    <xf numFmtId="0" fontId="0" fillId="0" borderId="0" xfId="0" applyBorder="1" applyProtection="1"/>
    <xf numFmtId="0" fontId="0" fillId="0" borderId="0" xfId="0" applyNumberFormat="1" applyBorder="1" applyProtection="1"/>
    <xf numFmtId="1" fontId="5" fillId="3" borderId="4" xfId="0" applyNumberFormat="1" applyFont="1" applyFill="1" applyBorder="1" applyAlignment="1" applyProtection="1">
      <alignment horizontal="center" vertical="center"/>
      <protection locked="0"/>
    </xf>
    <xf numFmtId="0" fontId="18" fillId="12" borderId="26" xfId="0" applyFont="1" applyFill="1" applyBorder="1" applyAlignment="1">
      <alignment horizontal="center" vertical="center" wrapText="1"/>
    </xf>
    <xf numFmtId="0" fontId="3" fillId="12" borderId="26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 wrapText="1"/>
    </xf>
    <xf numFmtId="0" fontId="18" fillId="13" borderId="4" xfId="0" applyFont="1" applyFill="1" applyBorder="1" applyAlignment="1">
      <alignment horizontal="center" vertical="center" wrapText="1"/>
    </xf>
    <xf numFmtId="0" fontId="3" fillId="13" borderId="4" xfId="0" applyFont="1" applyFill="1" applyBorder="1" applyAlignment="1">
      <alignment horizontal="center" vertical="center" wrapText="1"/>
    </xf>
    <xf numFmtId="0" fontId="18" fillId="14" borderId="4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 wrapText="1"/>
    </xf>
    <xf numFmtId="0" fontId="11" fillId="5" borderId="27" xfId="0" applyFont="1" applyFill="1" applyBorder="1" applyAlignment="1">
      <alignment horizontal="left"/>
    </xf>
    <xf numFmtId="164" fontId="19" fillId="5" borderId="28" xfId="0" applyNumberFormat="1" applyFont="1" applyFill="1" applyBorder="1" applyAlignment="1" applyProtection="1"/>
    <xf numFmtId="0" fontId="20" fillId="5" borderId="29" xfId="0" applyFont="1" applyFill="1" applyBorder="1" applyAlignment="1"/>
    <xf numFmtId="10" fontId="19" fillId="5" borderId="29" xfId="0" applyNumberFormat="1" applyFont="1" applyFill="1" applyBorder="1" applyAlignment="1"/>
    <xf numFmtId="9" fontId="19" fillId="5" borderId="30" xfId="0" applyNumberFormat="1" applyFont="1" applyFill="1" applyBorder="1" applyAlignment="1"/>
    <xf numFmtId="0" fontId="21" fillId="11" borderId="31" xfId="0" applyFont="1" applyFill="1" applyBorder="1"/>
    <xf numFmtId="0" fontId="17" fillId="11" borderId="31" xfId="0" applyFont="1" applyFill="1" applyBorder="1"/>
    <xf numFmtId="0" fontId="17" fillId="11" borderId="32" xfId="0" applyFont="1" applyFill="1" applyBorder="1"/>
    <xf numFmtId="0" fontId="11" fillId="6" borderId="33" xfId="0" applyFont="1" applyFill="1" applyBorder="1" applyAlignment="1">
      <alignment horizontal="left"/>
    </xf>
    <xf numFmtId="164" fontId="19" fillId="6" borderId="34" xfId="0" applyNumberFormat="1" applyFont="1" applyFill="1" applyBorder="1" applyAlignment="1"/>
    <xf numFmtId="0" fontId="20" fillId="6" borderId="35" xfId="0" applyFont="1" applyFill="1" applyBorder="1" applyAlignment="1"/>
    <xf numFmtId="10" fontId="19" fillId="6" borderId="35" xfId="0" applyNumberFormat="1" applyFont="1" applyFill="1" applyBorder="1" applyAlignment="1"/>
    <xf numFmtId="9" fontId="19" fillId="6" borderId="36" xfId="0" applyNumberFormat="1" applyFont="1" applyFill="1" applyBorder="1" applyAlignment="1"/>
    <xf numFmtId="0" fontId="21" fillId="0" borderId="12" xfId="0" applyFont="1" applyBorder="1"/>
    <xf numFmtId="0" fontId="17" fillId="0" borderId="12" xfId="0" applyFont="1" applyBorder="1"/>
    <xf numFmtId="0" fontId="17" fillId="0" borderId="13" xfId="0" applyFont="1" applyBorder="1"/>
    <xf numFmtId="0" fontId="11" fillId="5" borderId="33" xfId="0" applyFont="1" applyFill="1" applyBorder="1" applyAlignment="1">
      <alignment horizontal="left"/>
    </xf>
    <xf numFmtId="164" fontId="19" fillId="5" borderId="34" xfId="0" applyNumberFormat="1" applyFont="1" applyFill="1" applyBorder="1" applyAlignment="1"/>
    <xf numFmtId="0" fontId="22" fillId="5" borderId="35" xfId="0" applyFont="1" applyFill="1" applyBorder="1" applyAlignment="1"/>
    <xf numFmtId="9" fontId="11" fillId="5" borderId="35" xfId="0" applyNumberFormat="1" applyFont="1" applyFill="1" applyBorder="1" applyAlignment="1"/>
    <xf numFmtId="9" fontId="11" fillId="5" borderId="36" xfId="0" applyNumberFormat="1" applyFont="1" applyFill="1" applyBorder="1" applyAlignment="1"/>
    <xf numFmtId="0" fontId="18" fillId="11" borderId="12" xfId="0" applyFont="1" applyFill="1" applyBorder="1"/>
    <xf numFmtId="9" fontId="3" fillId="11" borderId="12" xfId="0" applyNumberFormat="1" applyFont="1" applyFill="1" applyBorder="1"/>
    <xf numFmtId="9" fontId="3" fillId="11" borderId="13" xfId="0" applyNumberFormat="1" applyFont="1" applyFill="1" applyBorder="1"/>
    <xf numFmtId="9" fontId="19" fillId="6" borderId="35" xfId="0" applyNumberFormat="1" applyFont="1" applyFill="1" applyBorder="1" applyAlignment="1"/>
    <xf numFmtId="0" fontId="21" fillId="15" borderId="37" xfId="0" applyFont="1" applyFill="1" applyBorder="1"/>
    <xf numFmtId="9" fontId="17" fillId="15" borderId="12" xfId="0" applyNumberFormat="1" applyFont="1" applyFill="1" applyBorder="1"/>
    <xf numFmtId="0" fontId="21" fillId="15" borderId="12" xfId="0" applyFont="1" applyFill="1" applyBorder="1"/>
    <xf numFmtId="9" fontId="3" fillId="15" borderId="13" xfId="0" applyNumberFormat="1" applyFont="1" applyFill="1" applyBorder="1"/>
    <xf numFmtId="0" fontId="11" fillId="5" borderId="39" xfId="0" applyFont="1" applyFill="1" applyBorder="1" applyAlignment="1">
      <alignment horizontal="left"/>
    </xf>
    <xf numFmtId="0" fontId="22" fillId="5" borderId="40" xfId="0" applyFont="1" applyFill="1" applyBorder="1" applyAlignment="1"/>
    <xf numFmtId="9" fontId="11" fillId="5" borderId="15" xfId="0" applyNumberFormat="1" applyFont="1" applyFill="1" applyBorder="1" applyAlignment="1"/>
    <xf numFmtId="0" fontId="22" fillId="5" borderId="15" xfId="0" applyFont="1" applyFill="1" applyBorder="1" applyAlignment="1"/>
    <xf numFmtId="9" fontId="11" fillId="5" borderId="0" xfId="0" applyNumberFormat="1" applyFont="1" applyFill="1" applyBorder="1" applyAlignment="1"/>
    <xf numFmtId="0" fontId="18" fillId="11" borderId="22" xfId="0" applyFont="1" applyFill="1" applyBorder="1"/>
    <xf numFmtId="9" fontId="3" fillId="11" borderId="22" xfId="0" applyNumberFormat="1" applyFont="1" applyFill="1" applyBorder="1"/>
    <xf numFmtId="9" fontId="3" fillId="11" borderId="41" xfId="0" applyNumberFormat="1" applyFont="1" applyFill="1" applyBorder="1"/>
    <xf numFmtId="0" fontId="11" fillId="7" borderId="11" xfId="0" applyFont="1" applyFill="1" applyBorder="1" applyAlignment="1" applyProtection="1">
      <alignment horizontal="right"/>
    </xf>
    <xf numFmtId="0" fontId="22" fillId="5" borderId="12" xfId="0" applyFont="1" applyFill="1" applyBorder="1" applyAlignment="1"/>
    <xf numFmtId="9" fontId="11" fillId="5" borderId="12" xfId="0" applyNumberFormat="1" applyFont="1" applyFill="1" applyBorder="1" applyAlignment="1"/>
    <xf numFmtId="164" fontId="19" fillId="5" borderId="28" xfId="0" applyNumberFormat="1" applyFont="1" applyFill="1" applyBorder="1" applyAlignment="1"/>
    <xf numFmtId="0" fontId="22" fillId="5" borderId="29" xfId="0" applyFont="1" applyFill="1" applyBorder="1" applyAlignment="1"/>
    <xf numFmtId="9" fontId="11" fillId="5" borderId="29" xfId="0" applyNumberFormat="1" applyFont="1" applyFill="1" applyBorder="1" applyAlignment="1"/>
    <xf numFmtId="9" fontId="11" fillId="5" borderId="30" xfId="0" applyNumberFormat="1" applyFont="1" applyFill="1" applyBorder="1" applyAlignment="1"/>
    <xf numFmtId="1" fontId="18" fillId="11" borderId="31" xfId="0" applyNumberFormat="1" applyFont="1" applyFill="1" applyBorder="1"/>
    <xf numFmtId="9" fontId="3" fillId="11" borderId="31" xfId="0" applyNumberFormat="1" applyFont="1" applyFill="1" applyBorder="1"/>
    <xf numFmtId="9" fontId="3" fillId="11" borderId="32" xfId="0" applyNumberFormat="1" applyFont="1" applyFill="1" applyBorder="1"/>
    <xf numFmtId="1" fontId="18" fillId="11" borderId="12" xfId="0" applyNumberFormat="1" applyFont="1" applyFill="1" applyBorder="1"/>
    <xf numFmtId="2" fontId="19" fillId="5" borderId="34" xfId="0" applyNumberFormat="1" applyFont="1" applyFill="1" applyBorder="1" applyAlignment="1"/>
    <xf numFmtId="164" fontId="18" fillId="11" borderId="12" xfId="0" applyNumberFormat="1" applyFont="1" applyFill="1" applyBorder="1"/>
    <xf numFmtId="2" fontId="19" fillId="6" borderId="34" xfId="0" applyNumberFormat="1" applyFont="1" applyFill="1" applyBorder="1" applyAlignment="1"/>
    <xf numFmtId="0" fontId="22" fillId="6" borderId="35" xfId="0" applyFont="1" applyFill="1" applyBorder="1" applyAlignment="1"/>
    <xf numFmtId="9" fontId="11" fillId="6" borderId="35" xfId="0" applyNumberFormat="1" applyFont="1" applyFill="1" applyBorder="1" applyAlignment="1"/>
    <xf numFmtId="9" fontId="11" fillId="6" borderId="36" xfId="0" applyNumberFormat="1" applyFont="1" applyFill="1" applyBorder="1" applyAlignment="1"/>
    <xf numFmtId="164" fontId="18" fillId="0" borderId="12" xfId="0" applyNumberFormat="1" applyFont="1" applyBorder="1"/>
    <xf numFmtId="9" fontId="3" fillId="0" borderId="12" xfId="0" applyNumberFormat="1" applyFont="1" applyBorder="1"/>
    <xf numFmtId="9" fontId="3" fillId="0" borderId="13" xfId="0" applyNumberFormat="1" applyFont="1" applyBorder="1"/>
    <xf numFmtId="1" fontId="18" fillId="0" borderId="12" xfId="0" applyNumberFormat="1" applyFont="1" applyBorder="1"/>
    <xf numFmtId="0" fontId="20" fillId="5" borderId="35" xfId="0" applyFont="1" applyFill="1" applyBorder="1" applyAlignment="1"/>
    <xf numFmtId="9" fontId="19" fillId="5" borderId="35" xfId="0" applyNumberFormat="1" applyFont="1" applyFill="1" applyBorder="1" applyAlignment="1"/>
    <xf numFmtId="9" fontId="19" fillId="5" borderId="36" xfId="0" applyNumberFormat="1" applyFont="1" applyFill="1" applyBorder="1" applyAlignment="1"/>
    <xf numFmtId="0" fontId="20" fillId="6" borderId="43" xfId="0" applyFont="1" applyFill="1" applyBorder="1" applyAlignment="1"/>
    <xf numFmtId="9" fontId="19" fillId="6" borderId="43" xfId="0" applyNumberFormat="1" applyFont="1" applyFill="1" applyBorder="1" applyAlignment="1"/>
    <xf numFmtId="9" fontId="19" fillId="6" borderId="38" xfId="0" applyNumberFormat="1" applyFont="1" applyFill="1" applyBorder="1" applyAlignment="1"/>
    <xf numFmtId="0" fontId="11" fillId="5" borderId="44" xfId="0" applyFont="1" applyFill="1" applyBorder="1" applyAlignment="1">
      <alignment horizontal="left"/>
    </xf>
    <xf numFmtId="164" fontId="19" fillId="5" borderId="38" xfId="0" applyNumberFormat="1" applyFont="1" applyFill="1" applyBorder="1" applyAlignment="1"/>
    <xf numFmtId="0" fontId="20" fillId="5" borderId="22" xfId="0" applyFont="1" applyFill="1" applyBorder="1" applyAlignment="1">
      <alignment horizontal="right"/>
    </xf>
    <xf numFmtId="9" fontId="19" fillId="5" borderId="22" xfId="0" applyNumberFormat="1" applyFont="1" applyFill="1" applyBorder="1" applyAlignment="1">
      <alignment horizontal="right"/>
    </xf>
    <xf numFmtId="9" fontId="19" fillId="5" borderId="45" xfId="0" applyNumberFormat="1" applyFont="1" applyFill="1" applyBorder="1" applyAlignment="1">
      <alignment horizontal="right"/>
    </xf>
    <xf numFmtId="0" fontId="18" fillId="12" borderId="4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9" fontId="19" fillId="5" borderId="29" xfId="0" applyNumberFormat="1" applyFont="1" applyFill="1" applyBorder="1" applyAlignment="1"/>
    <xf numFmtId="0" fontId="22" fillId="5" borderId="43" xfId="0" applyFont="1" applyFill="1" applyBorder="1" applyAlignment="1"/>
    <xf numFmtId="9" fontId="11" fillId="5" borderId="43" xfId="0" applyNumberFormat="1" applyFont="1" applyFill="1" applyBorder="1" applyAlignment="1"/>
    <xf numFmtId="9" fontId="11" fillId="5" borderId="38" xfId="0" applyNumberFormat="1" applyFont="1" applyFill="1" applyBorder="1" applyAlignment="1"/>
    <xf numFmtId="0" fontId="20" fillId="6" borderId="35" xfId="0" applyFont="1" applyFill="1" applyBorder="1" applyAlignment="1">
      <alignment horizontal="right"/>
    </xf>
    <xf numFmtId="9" fontId="19" fillId="6" borderId="12" xfId="0" applyNumberFormat="1" applyFont="1" applyFill="1" applyBorder="1" applyAlignment="1">
      <alignment horizontal="right"/>
    </xf>
    <xf numFmtId="9" fontId="19" fillId="6" borderId="47" xfId="0" applyNumberFormat="1" applyFont="1" applyFill="1" applyBorder="1" applyAlignment="1">
      <alignment horizontal="right"/>
    </xf>
    <xf numFmtId="164" fontId="19" fillId="5" borderId="48" xfId="0" applyNumberFormat="1" applyFont="1" applyFill="1" applyBorder="1" applyAlignment="1"/>
    <xf numFmtId="0" fontId="20" fillId="5" borderId="43" xfId="0" applyFont="1" applyFill="1" applyBorder="1" applyAlignment="1">
      <alignment horizontal="right"/>
    </xf>
    <xf numFmtId="0" fontId="11" fillId="6" borderId="49" xfId="0" applyFont="1" applyFill="1" applyBorder="1" applyAlignment="1">
      <alignment horizontal="left"/>
    </xf>
    <xf numFmtId="164" fontId="19" fillId="6" borderId="50" xfId="0" applyNumberFormat="1" applyFont="1" applyFill="1" applyBorder="1" applyAlignment="1"/>
    <xf numFmtId="0" fontId="20" fillId="6" borderId="51" xfId="0" applyFont="1" applyFill="1" applyBorder="1" applyAlignment="1">
      <alignment horizontal="right"/>
    </xf>
    <xf numFmtId="9" fontId="19" fillId="6" borderId="19" xfId="0" applyNumberFormat="1" applyFont="1" applyFill="1" applyBorder="1" applyAlignment="1">
      <alignment horizontal="right"/>
    </xf>
    <xf numFmtId="9" fontId="19" fillId="6" borderId="52" xfId="0" applyNumberFormat="1" applyFont="1" applyFill="1" applyBorder="1" applyAlignment="1">
      <alignment horizontal="right"/>
    </xf>
    <xf numFmtId="0" fontId="0" fillId="17" borderId="2" xfId="0" applyFill="1" applyBorder="1"/>
    <xf numFmtId="0" fontId="0" fillId="17" borderId="3" xfId="0" applyFill="1" applyBorder="1"/>
    <xf numFmtId="0" fontId="28" fillId="3" borderId="26" xfId="0" applyFont="1" applyFill="1" applyBorder="1" applyAlignment="1" applyProtection="1">
      <alignment horizontal="center" vertical="center"/>
      <protection locked="0"/>
    </xf>
    <xf numFmtId="0" fontId="0" fillId="17" borderId="0" xfId="0" applyFill="1" applyBorder="1"/>
    <xf numFmtId="0" fontId="0" fillId="17" borderId="16" xfId="0" applyFill="1" applyBorder="1"/>
    <xf numFmtId="0" fontId="0" fillId="17" borderId="55" xfId="0" applyFill="1" applyBorder="1"/>
    <xf numFmtId="0" fontId="0" fillId="2" borderId="37" xfId="0" applyFill="1" applyBorder="1" applyAlignment="1">
      <alignment horizontal="center"/>
    </xf>
    <xf numFmtId="0" fontId="30" fillId="2" borderId="12" xfId="0" applyFont="1" applyFill="1" applyBorder="1" applyAlignment="1">
      <alignment horizontal="center"/>
    </xf>
    <xf numFmtId="0" fontId="30" fillId="2" borderId="13" xfId="0" applyFont="1" applyFill="1" applyBorder="1" applyAlignment="1">
      <alignment horizontal="center"/>
    </xf>
    <xf numFmtId="0" fontId="31" fillId="0" borderId="37" xfId="0" applyFont="1" applyBorder="1" applyAlignment="1">
      <alignment horizontal="center"/>
    </xf>
    <xf numFmtId="1" fontId="31" fillId="0" borderId="12" xfId="0" applyNumberFormat="1" applyFont="1" applyBorder="1" applyAlignment="1">
      <alignment horizontal="center"/>
    </xf>
    <xf numFmtId="1" fontId="31" fillId="0" borderId="13" xfId="0" applyNumberFormat="1" applyFon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32" fillId="0" borderId="58" xfId="0" applyFont="1" applyBorder="1" applyAlignment="1">
      <alignment horizontal="center"/>
    </xf>
    <xf numFmtId="164" fontId="32" fillId="0" borderId="19" xfId="0" applyNumberFormat="1" applyFont="1" applyBorder="1" applyAlignment="1">
      <alignment horizontal="center"/>
    </xf>
    <xf numFmtId="164" fontId="32" fillId="0" borderId="46" xfId="0" applyNumberFormat="1" applyFont="1" applyBorder="1" applyAlignment="1">
      <alignment horizontal="center"/>
    </xf>
    <xf numFmtId="0" fontId="2" fillId="17" borderId="0" xfId="0" applyFont="1" applyFill="1" applyBorder="1"/>
    <xf numFmtId="164" fontId="2" fillId="17" borderId="0" xfId="0" applyNumberFormat="1" applyFont="1" applyFill="1" applyBorder="1"/>
    <xf numFmtId="164" fontId="0" fillId="17" borderId="0" xfId="0" applyNumberFormat="1" applyFill="1" applyBorder="1"/>
    <xf numFmtId="0" fontId="0" fillId="17" borderId="59" xfId="0" applyFill="1" applyBorder="1"/>
    <xf numFmtId="0" fontId="0" fillId="17" borderId="60" xfId="0" applyFill="1" applyBorder="1"/>
    <xf numFmtId="0" fontId="0" fillId="17" borderId="42" xfId="0" applyFill="1" applyBorder="1"/>
    <xf numFmtId="0" fontId="0" fillId="0" borderId="37" xfId="0" applyFont="1" applyBorder="1" applyAlignment="1">
      <alignment horizontal="center"/>
    </xf>
    <xf numFmtId="0" fontId="0" fillId="10" borderId="45" xfId="0" applyFill="1" applyBorder="1"/>
    <xf numFmtId="0" fontId="0" fillId="10" borderId="61" xfId="0" applyFill="1" applyBorder="1"/>
    <xf numFmtId="0" fontId="0" fillId="10" borderId="25" xfId="0" applyFill="1" applyBorder="1"/>
    <xf numFmtId="0" fontId="0" fillId="10" borderId="62" xfId="0" applyFill="1" applyBorder="1"/>
    <xf numFmtId="0" fontId="0" fillId="10" borderId="0" xfId="0" applyFill="1" applyBorder="1"/>
    <xf numFmtId="0" fontId="0" fillId="10" borderId="40" xfId="0" applyFill="1" applyBorder="1"/>
    <xf numFmtId="0" fontId="0" fillId="0" borderId="62" xfId="0" applyFill="1" applyBorder="1"/>
    <xf numFmtId="0" fontId="0" fillId="0" borderId="0" xfId="0" applyFill="1" applyBorder="1"/>
    <xf numFmtId="0" fontId="0" fillId="0" borderId="40" xfId="0" applyFill="1" applyBorder="1"/>
    <xf numFmtId="0" fontId="0" fillId="10" borderId="63" xfId="0" applyFill="1" applyBorder="1"/>
    <xf numFmtId="0" fontId="0" fillId="10" borderId="64" xfId="0" applyFill="1" applyBorder="1"/>
    <xf numFmtId="0" fontId="0" fillId="10" borderId="65" xfId="0" applyFill="1" applyBorder="1"/>
    <xf numFmtId="0" fontId="40" fillId="0" borderId="37" xfId="0" applyFont="1" applyBorder="1" applyAlignment="1">
      <alignment horizontal="center"/>
    </xf>
    <xf numFmtId="0" fontId="0" fillId="0" borderId="0" xfId="0"/>
    <xf numFmtId="0" fontId="0" fillId="0" borderId="0" xfId="0"/>
    <xf numFmtId="164" fontId="43" fillId="0" borderId="12" xfId="0" applyNumberFormat="1" applyFont="1" applyBorder="1"/>
    <xf numFmtId="9" fontId="44" fillId="0" borderId="12" xfId="0" applyNumberFormat="1" applyFont="1" applyBorder="1"/>
    <xf numFmtId="9" fontId="44" fillId="0" borderId="13" xfId="0" applyNumberFormat="1" applyFont="1" applyBorder="1"/>
    <xf numFmtId="1" fontId="43" fillId="0" borderId="12" xfId="0" applyNumberFormat="1" applyFont="1" applyBorder="1"/>
    <xf numFmtId="1" fontId="43" fillId="11" borderId="12" xfId="0" applyNumberFormat="1" applyFont="1" applyFill="1" applyBorder="1"/>
    <xf numFmtId="9" fontId="44" fillId="11" borderId="12" xfId="0" applyNumberFormat="1" applyFont="1" applyFill="1" applyBorder="1"/>
    <xf numFmtId="9" fontId="44" fillId="11" borderId="13" xfId="0" applyNumberFormat="1" applyFont="1" applyFill="1" applyBorder="1"/>
    <xf numFmtId="1" fontId="43" fillId="0" borderId="19" xfId="0" applyNumberFormat="1" applyFont="1" applyBorder="1"/>
    <xf numFmtId="9" fontId="44" fillId="0" borderId="19" xfId="0" applyNumberFormat="1" applyFont="1" applyBorder="1"/>
    <xf numFmtId="9" fontId="44" fillId="0" borderId="46" xfId="0" applyNumberFormat="1" applyFont="1" applyBorder="1"/>
    <xf numFmtId="0" fontId="3" fillId="2" borderId="4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 applyProtection="1">
      <alignment horizontal="center" vertical="center" wrapText="1"/>
    </xf>
    <xf numFmtId="0" fontId="11" fillId="7" borderId="21" xfId="0" applyFont="1" applyFill="1" applyBorder="1" applyAlignment="1" applyProtection="1">
      <alignment horizontal="right"/>
    </xf>
    <xf numFmtId="0" fontId="22" fillId="5" borderId="22" xfId="0" applyFont="1" applyFill="1" applyBorder="1" applyAlignment="1"/>
    <xf numFmtId="9" fontId="11" fillId="5" borderId="22" xfId="0" applyNumberFormat="1" applyFont="1" applyFill="1" applyBorder="1" applyAlignment="1"/>
    <xf numFmtId="164" fontId="43" fillId="11" borderId="22" xfId="0" applyNumberFormat="1" applyFont="1" applyFill="1" applyBorder="1" applyAlignment="1">
      <alignment horizontal="right"/>
    </xf>
    <xf numFmtId="0" fontId="44" fillId="11" borderId="22" xfId="0" applyFont="1" applyFill="1" applyBorder="1"/>
    <xf numFmtId="0" fontId="44" fillId="11" borderId="41" xfId="0" applyFont="1" applyFill="1" applyBorder="1"/>
    <xf numFmtId="1" fontId="43" fillId="11" borderId="9" xfId="0" applyNumberFormat="1" applyFont="1" applyFill="1" applyBorder="1"/>
    <xf numFmtId="9" fontId="44" fillId="11" borderId="9" xfId="0" applyNumberFormat="1" applyFont="1" applyFill="1" applyBorder="1"/>
    <xf numFmtId="9" fontId="44" fillId="11" borderId="10" xfId="0" applyNumberFormat="1" applyFont="1" applyFill="1" applyBorder="1"/>
    <xf numFmtId="0" fontId="0" fillId="22" borderId="66" xfId="0" applyFill="1" applyBorder="1"/>
    <xf numFmtId="0" fontId="0" fillId="22" borderId="69" xfId="0" applyFill="1" applyBorder="1"/>
    <xf numFmtId="0" fontId="37" fillId="22" borderId="69" xfId="0" applyFont="1" applyFill="1" applyBorder="1"/>
    <xf numFmtId="0" fontId="0" fillId="22" borderId="71" xfId="0" applyFill="1" applyBorder="1"/>
    <xf numFmtId="0" fontId="0" fillId="22" borderId="67" xfId="0" applyFill="1" applyBorder="1"/>
    <xf numFmtId="0" fontId="0" fillId="22" borderId="68" xfId="0" applyFill="1" applyBorder="1"/>
    <xf numFmtId="0" fontId="0" fillId="22" borderId="0" xfId="0" applyFill="1" applyBorder="1"/>
    <xf numFmtId="0" fontId="0" fillId="22" borderId="70" xfId="0" applyFill="1" applyBorder="1"/>
    <xf numFmtId="0" fontId="0" fillId="22" borderId="72" xfId="0" applyFill="1" applyBorder="1"/>
    <xf numFmtId="0" fontId="0" fillId="22" borderId="73" xfId="0" applyFill="1" applyBorder="1"/>
    <xf numFmtId="0" fontId="3" fillId="16" borderId="4" xfId="0" applyFont="1" applyFill="1" applyBorder="1" applyAlignment="1" applyProtection="1">
      <alignment horizontal="center" vertical="center" wrapText="1"/>
    </xf>
    <xf numFmtId="9" fontId="11" fillId="5" borderId="75" xfId="0" applyNumberFormat="1" applyFont="1" applyFill="1" applyBorder="1" applyAlignment="1"/>
    <xf numFmtId="9" fontId="11" fillId="5" borderId="16" xfId="0" applyNumberFormat="1" applyFont="1" applyFill="1" applyBorder="1" applyAlignment="1"/>
    <xf numFmtId="9" fontId="11" fillId="5" borderId="13" xfId="0" applyNumberFormat="1" applyFont="1" applyFill="1" applyBorder="1" applyAlignment="1"/>
    <xf numFmtId="9" fontId="11" fillId="5" borderId="74" xfId="0" applyNumberFormat="1" applyFont="1" applyFill="1" applyBorder="1" applyAlignment="1"/>
    <xf numFmtId="9" fontId="11" fillId="6" borderId="75" xfId="0" applyNumberFormat="1" applyFont="1" applyFill="1" applyBorder="1" applyAlignment="1"/>
    <xf numFmtId="9" fontId="11" fillId="5" borderId="76" xfId="0" applyNumberFormat="1" applyFont="1" applyFill="1" applyBorder="1" applyAlignment="1"/>
    <xf numFmtId="0" fontId="54" fillId="16" borderId="0" xfId="0" applyFont="1" applyFill="1" applyBorder="1" applyAlignment="1">
      <alignment horizontal="center" vertical="center" wrapText="1"/>
    </xf>
    <xf numFmtId="0" fontId="54" fillId="9" borderId="57" xfId="0" applyFont="1" applyFill="1" applyBorder="1" applyAlignment="1">
      <alignment horizontal="center" vertical="center" wrapText="1"/>
    </xf>
    <xf numFmtId="0" fontId="54" fillId="25" borderId="0" xfId="0" applyFont="1" applyFill="1" applyBorder="1" applyAlignment="1">
      <alignment horizontal="center" vertical="center" wrapText="1"/>
    </xf>
    <xf numFmtId="0" fontId="17" fillId="9" borderId="57" xfId="0" applyFont="1" applyFill="1" applyBorder="1"/>
    <xf numFmtId="1" fontId="56" fillId="26" borderId="57" xfId="0" applyNumberFormat="1" applyFont="1" applyFill="1" applyBorder="1" applyAlignment="1">
      <alignment horizontal="center" vertical="center" wrapText="1"/>
    </xf>
    <xf numFmtId="1" fontId="56" fillId="27" borderId="57" xfId="0" applyNumberFormat="1" applyFont="1" applyFill="1" applyBorder="1" applyAlignment="1">
      <alignment horizontal="center" vertical="center" wrapText="1"/>
    </xf>
    <xf numFmtId="1" fontId="57" fillId="28" borderId="0" xfId="0" applyNumberFormat="1" applyFont="1" applyFill="1" applyBorder="1" applyAlignment="1">
      <alignment horizontal="center" vertical="center" wrapText="1"/>
    </xf>
    <xf numFmtId="0" fontId="57" fillId="9" borderId="57" xfId="0" applyFont="1" applyFill="1" applyBorder="1" applyAlignment="1">
      <alignment horizontal="center" vertical="center" wrapText="1"/>
    </xf>
    <xf numFmtId="1" fontId="57" fillId="29" borderId="77" xfId="0" applyNumberFormat="1" applyFont="1" applyFill="1" applyBorder="1" applyAlignment="1">
      <alignment horizontal="center" vertical="center" wrapText="1"/>
    </xf>
    <xf numFmtId="1" fontId="57" fillId="30" borderId="77" xfId="0" applyNumberFormat="1" applyFont="1" applyFill="1" applyBorder="1" applyAlignment="1">
      <alignment horizontal="center" vertical="center" wrapText="1"/>
    </xf>
    <xf numFmtId="0" fontId="17" fillId="9" borderId="57" xfId="0" applyFont="1" applyFill="1" applyBorder="1" applyAlignment="1">
      <alignment horizontal="center"/>
    </xf>
    <xf numFmtId="0" fontId="17" fillId="0" borderId="81" xfId="0" applyFont="1" applyBorder="1" applyAlignment="1">
      <alignment horizontal="center"/>
    </xf>
    <xf numFmtId="0" fontId="17" fillId="0" borderId="82" xfId="0" applyFont="1" applyBorder="1" applyAlignment="1">
      <alignment horizontal="center"/>
    </xf>
    <xf numFmtId="1" fontId="17" fillId="0" borderId="57" xfId="0" applyNumberFormat="1" applyFont="1" applyBorder="1" applyAlignment="1">
      <alignment horizontal="center" wrapText="1"/>
    </xf>
    <xf numFmtId="1" fontId="17" fillId="0" borderId="55" xfId="0" applyNumberFormat="1" applyFont="1" applyBorder="1" applyAlignment="1">
      <alignment horizontal="center" wrapText="1"/>
    </xf>
    <xf numFmtId="1" fontId="17" fillId="0" borderId="57" xfId="0" applyNumberFormat="1" applyFont="1" applyBorder="1" applyAlignment="1">
      <alignment horizontal="center"/>
    </xf>
    <xf numFmtId="1" fontId="17" fillId="0" borderId="82" xfId="0" applyNumberFormat="1" applyFont="1" applyBorder="1" applyAlignment="1">
      <alignment horizontal="center"/>
    </xf>
    <xf numFmtId="0" fontId="17" fillId="9" borderId="83" xfId="0" applyFont="1" applyFill="1" applyBorder="1"/>
    <xf numFmtId="1" fontId="17" fillId="16" borderId="84" xfId="0" applyNumberFormat="1" applyFont="1" applyFill="1" applyBorder="1" applyAlignment="1">
      <alignment horizontal="center" vertical="center"/>
    </xf>
    <xf numFmtId="1" fontId="17" fillId="9" borderId="57" xfId="0" applyNumberFormat="1" applyFont="1" applyFill="1" applyBorder="1" applyAlignment="1">
      <alignment horizontal="center" vertical="center"/>
    </xf>
    <xf numFmtId="1" fontId="17" fillId="25" borderId="16" xfId="0" applyNumberFormat="1" applyFont="1" applyFill="1" applyBorder="1" applyAlignment="1">
      <alignment horizontal="center" vertical="center"/>
    </xf>
    <xf numFmtId="1" fontId="17" fillId="9" borderId="85" xfId="0" applyNumberFormat="1" applyFont="1" applyFill="1" applyBorder="1" applyAlignment="1">
      <alignment vertical="center"/>
    </xf>
    <xf numFmtId="1" fontId="62" fillId="26" borderId="56" xfId="0" applyNumberFormat="1" applyFont="1" applyFill="1" applyBorder="1" applyAlignment="1">
      <alignment horizontal="center" vertical="center"/>
    </xf>
    <xf numFmtId="1" fontId="62" fillId="27" borderId="56" xfId="0" applyNumberFormat="1" applyFont="1" applyFill="1" applyBorder="1" applyAlignment="1">
      <alignment horizontal="center" vertical="center"/>
    </xf>
    <xf numFmtId="1" fontId="63" fillId="28" borderId="56" xfId="0" applyNumberFormat="1" applyFont="1" applyFill="1" applyBorder="1" applyAlignment="1">
      <alignment horizontal="center" vertical="center"/>
    </xf>
    <xf numFmtId="1" fontId="63" fillId="9" borderId="57" xfId="0" applyNumberFormat="1" applyFont="1" applyFill="1" applyBorder="1" applyAlignment="1">
      <alignment horizontal="center" vertical="center"/>
    </xf>
    <xf numFmtId="1" fontId="63" fillId="29" borderId="56" xfId="0" applyNumberFormat="1" applyFont="1" applyFill="1" applyBorder="1" applyAlignment="1">
      <alignment horizontal="center" vertical="center"/>
    </xf>
    <xf numFmtId="1" fontId="63" fillId="30" borderId="56" xfId="0" applyNumberFormat="1" applyFont="1" applyFill="1" applyBorder="1" applyAlignment="1">
      <alignment horizontal="center" vertical="center"/>
    </xf>
    <xf numFmtId="0" fontId="17" fillId="0" borderId="59" xfId="0" applyFont="1" applyBorder="1" applyAlignment="1">
      <alignment horizontal="left" vertical="center" indent="1"/>
    </xf>
    <xf numFmtId="0" fontId="17" fillId="0" borderId="86" xfId="0" applyFont="1" applyBorder="1"/>
    <xf numFmtId="0" fontId="17" fillId="9" borderId="87" xfId="0" applyFont="1" applyFill="1" applyBorder="1"/>
    <xf numFmtId="1" fontId="17" fillId="16" borderId="88" xfId="0" applyNumberFormat="1" applyFont="1" applyFill="1" applyBorder="1" applyAlignment="1">
      <alignment horizontal="center" vertical="center"/>
    </xf>
    <xf numFmtId="1" fontId="17" fillId="25" borderId="89" xfId="0" applyNumberFormat="1" applyFont="1" applyFill="1" applyBorder="1" applyAlignment="1">
      <alignment horizontal="center" vertical="center"/>
    </xf>
    <xf numFmtId="1" fontId="17" fillId="9" borderId="90" xfId="0" applyNumberFormat="1" applyFont="1" applyFill="1" applyBorder="1" applyAlignment="1">
      <alignment vertical="center"/>
    </xf>
    <xf numFmtId="1" fontId="62" fillId="26" borderId="91" xfId="0" applyNumberFormat="1" applyFont="1" applyFill="1" applyBorder="1" applyAlignment="1">
      <alignment horizontal="center" vertical="center"/>
    </xf>
    <xf numFmtId="1" fontId="62" fillId="27" borderId="91" xfId="0" applyNumberFormat="1" applyFont="1" applyFill="1" applyBorder="1" applyAlignment="1">
      <alignment horizontal="center" vertical="center"/>
    </xf>
    <xf numFmtId="1" fontId="63" fillId="28" borderId="91" xfId="0" applyNumberFormat="1" applyFont="1" applyFill="1" applyBorder="1" applyAlignment="1">
      <alignment horizontal="center" vertical="center"/>
    </xf>
    <xf numFmtId="1" fontId="63" fillId="29" borderId="92" xfId="0" applyNumberFormat="1" applyFont="1" applyFill="1" applyBorder="1" applyAlignment="1">
      <alignment horizontal="center" vertical="center"/>
    </xf>
    <xf numFmtId="1" fontId="63" fillId="30" borderId="92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vertical="center" indent="1"/>
    </xf>
    <xf numFmtId="0" fontId="17" fillId="0" borderId="93" xfId="0" applyFont="1" applyBorder="1"/>
    <xf numFmtId="0" fontId="17" fillId="16" borderId="0" xfId="0" applyFont="1" applyFill="1" applyBorder="1" applyAlignment="1">
      <alignment horizontal="center" vertical="center"/>
    </xf>
    <xf numFmtId="0" fontId="17" fillId="9" borderId="57" xfId="0" applyFont="1" applyFill="1" applyBorder="1" applyAlignment="1">
      <alignment horizontal="center" vertical="center"/>
    </xf>
    <xf numFmtId="0" fontId="17" fillId="25" borderId="92" xfId="0" applyFont="1" applyFill="1" applyBorder="1" applyAlignment="1">
      <alignment horizontal="center" vertical="center"/>
    </xf>
    <xf numFmtId="0" fontId="17" fillId="9" borderId="85" xfId="0" applyFont="1" applyFill="1" applyBorder="1" applyAlignment="1">
      <alignment vertical="center"/>
    </xf>
    <xf numFmtId="1" fontId="62" fillId="26" borderId="57" xfId="0" applyNumberFormat="1" applyFont="1" applyFill="1" applyBorder="1" applyAlignment="1">
      <alignment horizontal="center" vertical="center"/>
    </xf>
    <xf numFmtId="1" fontId="62" fillId="27" borderId="57" xfId="0" applyNumberFormat="1" applyFont="1" applyFill="1" applyBorder="1" applyAlignment="1">
      <alignment horizontal="center" vertical="center"/>
    </xf>
    <xf numFmtId="1" fontId="63" fillId="28" borderId="57" xfId="0" applyNumberFormat="1" applyFont="1" applyFill="1" applyBorder="1" applyAlignment="1">
      <alignment horizontal="center" vertical="center"/>
    </xf>
    <xf numFmtId="0" fontId="63" fillId="9" borderId="57" xfId="0" applyFont="1" applyFill="1" applyBorder="1" applyAlignment="1">
      <alignment horizontal="center" vertical="center"/>
    </xf>
    <xf numFmtId="1" fontId="63" fillId="30" borderId="57" xfId="0" applyNumberFormat="1" applyFont="1" applyFill="1" applyBorder="1" applyAlignment="1">
      <alignment horizontal="center" vertical="center"/>
    </xf>
    <xf numFmtId="0" fontId="17" fillId="0" borderId="94" xfId="0" applyFont="1" applyBorder="1"/>
    <xf numFmtId="0" fontId="17" fillId="9" borderId="95" xfId="0" applyFont="1" applyFill="1" applyBorder="1"/>
    <xf numFmtId="1" fontId="17" fillId="25" borderId="92" xfId="0" applyNumberFormat="1" applyFont="1" applyFill="1" applyBorder="1" applyAlignment="1">
      <alignment horizontal="center" vertical="center"/>
    </xf>
    <xf numFmtId="0" fontId="17" fillId="0" borderId="6" xfId="0" applyFont="1" applyBorder="1"/>
    <xf numFmtId="0" fontId="17" fillId="16" borderId="88" xfId="0" applyFont="1" applyFill="1" applyBorder="1" applyAlignment="1">
      <alignment horizontal="center" vertical="center"/>
    </xf>
    <xf numFmtId="164" fontId="17" fillId="25" borderId="16" xfId="0" applyNumberFormat="1" applyFont="1" applyFill="1" applyBorder="1" applyAlignment="1">
      <alignment horizontal="center" vertical="center"/>
    </xf>
    <xf numFmtId="0" fontId="17" fillId="9" borderId="57" xfId="0" applyFont="1" applyFill="1" applyBorder="1" applyAlignment="1">
      <alignment vertical="center"/>
    </xf>
    <xf numFmtId="1" fontId="62" fillId="26" borderId="96" xfId="0" applyNumberFormat="1" applyFont="1" applyFill="1" applyBorder="1" applyAlignment="1">
      <alignment horizontal="center" vertical="center"/>
    </xf>
    <xf numFmtId="1" fontId="63" fillId="28" borderId="96" xfId="0" applyNumberFormat="1" applyFont="1" applyFill="1" applyBorder="1" applyAlignment="1">
      <alignment horizontal="center" vertical="center"/>
    </xf>
    <xf numFmtId="1" fontId="63" fillId="29" borderId="57" xfId="0" applyNumberFormat="1" applyFont="1" applyFill="1" applyBorder="1" applyAlignment="1">
      <alignment horizontal="center" vertical="center"/>
    </xf>
    <xf numFmtId="0" fontId="17" fillId="0" borderId="97" xfId="0" applyFont="1" applyBorder="1" applyAlignment="1">
      <alignment horizontal="left" vertical="center" indent="1"/>
    </xf>
    <xf numFmtId="1" fontId="17" fillId="9" borderId="55" xfId="0" applyNumberFormat="1" applyFont="1" applyFill="1" applyBorder="1" applyAlignment="1">
      <alignment horizontal="center" vertical="center"/>
    </xf>
    <xf numFmtId="0" fontId="17" fillId="9" borderId="80" xfId="0" applyFont="1" applyFill="1" applyBorder="1" applyAlignment="1">
      <alignment vertical="center"/>
    </xf>
    <xf numFmtId="164" fontId="62" fillId="26" borderId="98" xfId="0" applyNumberFormat="1" applyFont="1" applyFill="1" applyBorder="1" applyAlignment="1">
      <alignment horizontal="center" vertical="center"/>
    </xf>
    <xf numFmtId="164" fontId="62" fillId="27" borderId="98" xfId="0" applyNumberFormat="1" applyFont="1" applyFill="1" applyBorder="1" applyAlignment="1">
      <alignment horizontal="center" vertical="center"/>
    </xf>
    <xf numFmtId="164" fontId="63" fillId="28" borderId="98" xfId="0" applyNumberFormat="1" applyFont="1" applyFill="1" applyBorder="1" applyAlignment="1">
      <alignment horizontal="center" vertical="center"/>
    </xf>
    <xf numFmtId="1" fontId="63" fillId="9" borderId="55" xfId="0" applyNumberFormat="1" applyFont="1" applyFill="1" applyBorder="1" applyAlignment="1">
      <alignment horizontal="center" vertical="center"/>
    </xf>
    <xf numFmtId="164" fontId="63" fillId="29" borderId="92" xfId="0" applyNumberFormat="1" applyFont="1" applyFill="1" applyBorder="1" applyAlignment="1">
      <alignment horizontal="center" vertical="center"/>
    </xf>
    <xf numFmtId="164" fontId="63" fillId="30" borderId="92" xfId="0" applyNumberFormat="1" applyFont="1" applyFill="1" applyBorder="1" applyAlignment="1">
      <alignment horizontal="center" vertical="center"/>
    </xf>
    <xf numFmtId="0" fontId="17" fillId="16" borderId="99" xfId="0" applyFont="1" applyFill="1" applyBorder="1" applyAlignment="1">
      <alignment horizontal="center" vertical="center"/>
    </xf>
    <xf numFmtId="164" fontId="17" fillId="25" borderId="92" xfId="0" applyNumberFormat="1" applyFont="1" applyFill="1" applyBorder="1" applyAlignment="1">
      <alignment horizontal="center" vertical="center"/>
    </xf>
    <xf numFmtId="0" fontId="17" fillId="9" borderId="90" xfId="0" applyFont="1" applyFill="1" applyBorder="1" applyAlignment="1">
      <alignment vertical="center"/>
    </xf>
    <xf numFmtId="1" fontId="62" fillId="26" borderId="100" xfId="0" applyNumberFormat="1" applyFont="1" applyFill="1" applyBorder="1" applyAlignment="1">
      <alignment horizontal="center" vertical="center"/>
    </xf>
    <xf numFmtId="1" fontId="62" fillId="27" borderId="100" xfId="0" applyNumberFormat="1" applyFont="1" applyFill="1" applyBorder="1" applyAlignment="1">
      <alignment horizontal="center" vertical="center"/>
    </xf>
    <xf numFmtId="1" fontId="63" fillId="28" borderId="100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indent="1"/>
    </xf>
    <xf numFmtId="0" fontId="17" fillId="0" borderId="0" xfId="0" applyFont="1" applyBorder="1"/>
    <xf numFmtId="0" fontId="17" fillId="16" borderId="101" xfId="0" applyFont="1" applyFill="1" applyBorder="1" applyAlignment="1">
      <alignment horizontal="center" vertical="center"/>
    </xf>
    <xf numFmtId="0" fontId="17" fillId="9" borderId="55" xfId="0" applyFont="1" applyFill="1" applyBorder="1" applyAlignment="1">
      <alignment horizontal="center" vertical="center"/>
    </xf>
    <xf numFmtId="164" fontId="17" fillId="25" borderId="101" xfId="0" applyNumberFormat="1" applyFont="1" applyFill="1" applyBorder="1" applyAlignment="1">
      <alignment horizontal="center" vertical="center"/>
    </xf>
    <xf numFmtId="1" fontId="62" fillId="26" borderId="89" xfId="0" applyNumberFormat="1" applyFont="1" applyFill="1" applyBorder="1" applyAlignment="1">
      <alignment horizontal="center" vertical="center"/>
    </xf>
    <xf numFmtId="1" fontId="62" fillId="27" borderId="89" xfId="0" applyNumberFormat="1" applyFont="1" applyFill="1" applyBorder="1" applyAlignment="1">
      <alignment horizontal="center" vertical="center"/>
    </xf>
    <xf numFmtId="1" fontId="63" fillId="28" borderId="89" xfId="0" applyNumberFormat="1" applyFont="1" applyFill="1" applyBorder="1" applyAlignment="1">
      <alignment horizontal="center" vertical="center"/>
    </xf>
    <xf numFmtId="0" fontId="63" fillId="9" borderId="55" xfId="0" applyFont="1" applyFill="1" applyBorder="1" applyAlignment="1">
      <alignment horizontal="center" vertical="center"/>
    </xf>
    <xf numFmtId="1" fontId="63" fillId="29" borderId="101" xfId="0" applyNumberFormat="1" applyFont="1" applyFill="1" applyBorder="1" applyAlignment="1">
      <alignment horizontal="center" vertical="center"/>
    </xf>
    <xf numFmtId="1" fontId="63" fillId="30" borderId="101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9" borderId="57" xfId="0" applyFill="1" applyBorder="1"/>
    <xf numFmtId="0" fontId="0" fillId="0" borderId="56" xfId="0" applyBorder="1"/>
    <xf numFmtId="0" fontId="51" fillId="0" borderId="56" xfId="0" applyFont="1" applyBorder="1"/>
    <xf numFmtId="0" fontId="51" fillId="9" borderId="57" xfId="0" applyFont="1" applyFill="1" applyBorder="1"/>
    <xf numFmtId="0" fontId="51" fillId="0" borderId="57" xfId="0" applyFont="1" applyBorder="1"/>
    <xf numFmtId="0" fontId="0" fillId="0" borderId="59" xfId="0" applyBorder="1"/>
    <xf numFmtId="0" fontId="0" fillId="0" borderId="60" xfId="0" applyBorder="1"/>
    <xf numFmtId="0" fontId="0" fillId="0" borderId="26" xfId="0" applyBorder="1"/>
    <xf numFmtId="0" fontId="51" fillId="0" borderId="0" xfId="0" applyFont="1"/>
    <xf numFmtId="0" fontId="51" fillId="0" borderId="26" xfId="0" applyFont="1" applyBorder="1"/>
    <xf numFmtId="0" fontId="60" fillId="32" borderId="4" xfId="0" applyFont="1" applyFill="1" applyBorder="1" applyAlignment="1">
      <alignment horizontal="center" vertical="center"/>
    </xf>
    <xf numFmtId="0" fontId="60" fillId="0" borderId="6" xfId="0" applyFont="1" applyFill="1" applyBorder="1" applyAlignment="1">
      <alignment horizontal="center" vertical="center"/>
    </xf>
    <xf numFmtId="0" fontId="60" fillId="9" borderId="57" xfId="0" applyFont="1" applyFill="1" applyBorder="1" applyAlignment="1">
      <alignment horizontal="center" vertical="center"/>
    </xf>
    <xf numFmtId="0" fontId="60" fillId="0" borderId="4" xfId="0" applyFont="1" applyFill="1" applyBorder="1" applyAlignment="1">
      <alignment horizontal="center" vertical="center"/>
    </xf>
    <xf numFmtId="9" fontId="64" fillId="9" borderId="102" xfId="1" applyFont="1" applyFill="1" applyBorder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horizontal="center" vertical="center"/>
    </xf>
    <xf numFmtId="0" fontId="65" fillId="9" borderId="57" xfId="0" applyFont="1" applyFill="1" applyBorder="1" applyAlignment="1">
      <alignment horizontal="center" vertical="center"/>
    </xf>
    <xf numFmtId="0" fontId="65" fillId="0" borderId="4" xfId="0" applyFont="1" applyFill="1" applyBorder="1" applyAlignment="1">
      <alignment horizontal="center" vertical="center"/>
    </xf>
    <xf numFmtId="0" fontId="66" fillId="0" borderId="59" xfId="0" applyFont="1" applyBorder="1" applyAlignment="1">
      <alignment horizontal="left" vertical="center"/>
    </xf>
    <xf numFmtId="0" fontId="66" fillId="0" borderId="60" xfId="0" applyFont="1" applyBorder="1" applyAlignment="1">
      <alignment vertical="center"/>
    </xf>
    <xf numFmtId="0" fontId="66" fillId="9" borderId="102" xfId="0" applyFont="1" applyFill="1" applyBorder="1" applyAlignment="1">
      <alignment vertical="center"/>
    </xf>
    <xf numFmtId="9" fontId="64" fillId="16" borderId="84" xfId="1" applyFont="1" applyFill="1" applyBorder="1" applyAlignment="1">
      <alignment horizontal="center" vertical="center"/>
    </xf>
    <xf numFmtId="9" fontId="64" fillId="9" borderId="57" xfId="1" applyFont="1" applyFill="1" applyBorder="1" applyAlignment="1">
      <alignment horizontal="center" vertical="center"/>
    </xf>
    <xf numFmtId="9" fontId="64" fillId="25" borderId="84" xfId="1" applyFont="1" applyFill="1" applyBorder="1" applyAlignment="1">
      <alignment horizontal="center" vertical="center"/>
    </xf>
    <xf numFmtId="9" fontId="67" fillId="26" borderId="96" xfId="1" applyFont="1" applyFill="1" applyBorder="1" applyAlignment="1">
      <alignment horizontal="center" vertical="center"/>
    </xf>
    <xf numFmtId="9" fontId="67" fillId="27" borderId="103" xfId="1" applyFont="1" applyFill="1" applyBorder="1" applyAlignment="1">
      <alignment horizontal="center" vertical="center"/>
    </xf>
    <xf numFmtId="9" fontId="68" fillId="28" borderId="96" xfId="1" applyFont="1" applyFill="1" applyBorder="1" applyAlignment="1">
      <alignment horizontal="center" vertical="center"/>
    </xf>
    <xf numFmtId="9" fontId="68" fillId="9" borderId="57" xfId="1" applyFont="1" applyFill="1" applyBorder="1" applyAlignment="1">
      <alignment horizontal="center" vertical="center"/>
    </xf>
    <xf numFmtId="9" fontId="69" fillId="29" borderId="104" xfId="1" applyFont="1" applyFill="1" applyBorder="1" applyAlignment="1">
      <alignment horizontal="center" vertical="center"/>
    </xf>
    <xf numFmtId="9" fontId="69" fillId="30" borderId="57" xfId="1" applyFont="1" applyFill="1" applyBorder="1" applyAlignment="1">
      <alignment horizontal="center" vertical="center"/>
    </xf>
    <xf numFmtId="0" fontId="66" fillId="0" borderId="5" xfId="0" applyFont="1" applyBorder="1" applyAlignment="1">
      <alignment horizontal="left" vertical="center"/>
    </xf>
    <xf numFmtId="0" fontId="66" fillId="0" borderId="6" xfId="0" applyFont="1" applyBorder="1" applyAlignment="1">
      <alignment vertical="center"/>
    </xf>
    <xf numFmtId="0" fontId="66" fillId="9" borderId="105" xfId="0" applyFont="1" applyFill="1" applyBorder="1" applyAlignment="1">
      <alignment vertical="center"/>
    </xf>
    <xf numFmtId="9" fontId="64" fillId="16" borderId="0" xfId="1" applyFont="1" applyFill="1" applyBorder="1" applyAlignment="1">
      <alignment horizontal="center" vertical="center"/>
    </xf>
    <xf numFmtId="9" fontId="64" fillId="25" borderId="0" xfId="1" applyFont="1" applyFill="1" applyBorder="1" applyAlignment="1">
      <alignment horizontal="center" vertical="center"/>
    </xf>
    <xf numFmtId="9" fontId="64" fillId="9" borderId="105" xfId="1" applyFont="1" applyFill="1" applyBorder="1" applyAlignment="1">
      <alignment vertical="center"/>
    </xf>
    <xf numFmtId="9" fontId="67" fillId="26" borderId="57" xfId="1" applyFont="1" applyFill="1" applyBorder="1" applyAlignment="1">
      <alignment horizontal="center" vertical="center"/>
    </xf>
    <xf numFmtId="9" fontId="67" fillId="27" borderId="57" xfId="1" applyFont="1" applyFill="1" applyBorder="1" applyAlignment="1">
      <alignment horizontal="center" vertical="center"/>
    </xf>
    <xf numFmtId="9" fontId="68" fillId="28" borderId="91" xfId="1" applyFont="1" applyFill="1" applyBorder="1" applyAlignment="1">
      <alignment horizontal="center" vertical="center"/>
    </xf>
    <xf numFmtId="9" fontId="69" fillId="29" borderId="57" xfId="1" applyFont="1" applyFill="1" applyBorder="1" applyAlignment="1">
      <alignment horizontal="center" vertical="center"/>
    </xf>
    <xf numFmtId="9" fontId="69" fillId="30" borderId="92" xfId="1" applyFont="1" applyFill="1" applyBorder="1" applyAlignment="1">
      <alignment horizontal="center" vertical="center"/>
    </xf>
    <xf numFmtId="0" fontId="66" fillId="0" borderId="94" xfId="0" applyFont="1" applyBorder="1" applyAlignment="1">
      <alignment vertical="center"/>
    </xf>
    <xf numFmtId="0" fontId="66" fillId="9" borderId="106" xfId="0" applyFont="1" applyFill="1" applyBorder="1" applyAlignment="1">
      <alignment vertical="center"/>
    </xf>
    <xf numFmtId="9" fontId="64" fillId="16" borderId="107" xfId="1" applyFont="1" applyFill="1" applyBorder="1" applyAlignment="1">
      <alignment horizontal="center" vertical="center"/>
    </xf>
    <xf numFmtId="9" fontId="64" fillId="9" borderId="26" xfId="1" applyFont="1" applyFill="1" applyBorder="1" applyAlignment="1">
      <alignment horizontal="center" vertical="center"/>
    </xf>
    <xf numFmtId="9" fontId="64" fillId="25" borderId="107" xfId="1" applyFont="1" applyFill="1" applyBorder="1" applyAlignment="1">
      <alignment horizontal="center" vertical="center"/>
    </xf>
    <xf numFmtId="9" fontId="64" fillId="9" borderId="106" xfId="1" applyFont="1" applyFill="1" applyBorder="1" applyAlignment="1">
      <alignment vertical="center"/>
    </xf>
    <xf numFmtId="9" fontId="67" fillId="26" borderId="108" xfId="1" applyFont="1" applyFill="1" applyBorder="1" applyAlignment="1">
      <alignment horizontal="center" vertical="center"/>
    </xf>
    <xf numFmtId="9" fontId="67" fillId="27" borderId="108" xfId="1" applyFont="1" applyFill="1" applyBorder="1" applyAlignment="1">
      <alignment horizontal="center" vertical="center"/>
    </xf>
    <xf numFmtId="9" fontId="68" fillId="28" borderId="108" xfId="1" applyFont="1" applyFill="1" applyBorder="1" applyAlignment="1">
      <alignment horizontal="center" vertical="center"/>
    </xf>
    <xf numFmtId="9" fontId="68" fillId="9" borderId="26" xfId="1" applyFont="1" applyFill="1" applyBorder="1" applyAlignment="1">
      <alignment horizontal="center" vertical="center"/>
    </xf>
    <xf numFmtId="9" fontId="69" fillId="29" borderId="101" xfId="1" applyFont="1" applyFill="1" applyBorder="1" applyAlignment="1">
      <alignment horizontal="center" vertical="center"/>
    </xf>
    <xf numFmtId="9" fontId="69" fillId="30" borderId="26" xfId="1" applyFont="1" applyFill="1" applyBorder="1" applyAlignment="1">
      <alignment horizontal="center" vertical="center"/>
    </xf>
    <xf numFmtId="1" fontId="62" fillId="9" borderId="79" xfId="0" applyNumberFormat="1" applyFont="1" applyFill="1" applyBorder="1" applyAlignment="1">
      <alignment horizontal="center" vertical="center" wrapText="1"/>
    </xf>
    <xf numFmtId="1" fontId="62" fillId="9" borderId="57" xfId="0" applyNumberFormat="1" applyFont="1" applyFill="1" applyBorder="1" applyAlignment="1">
      <alignment horizontal="center" vertical="center" wrapText="1"/>
    </xf>
    <xf numFmtId="0" fontId="17" fillId="9" borderId="78" xfId="0" applyFont="1" applyFill="1" applyBorder="1" applyAlignment="1">
      <alignment horizontal="center" vertical="center" wrapText="1"/>
    </xf>
    <xf numFmtId="0" fontId="17" fillId="9" borderId="79" xfId="0" applyFont="1" applyFill="1" applyBorder="1" applyAlignment="1">
      <alignment horizontal="center" vertical="center" wrapText="1"/>
    </xf>
    <xf numFmtId="0" fontId="53" fillId="31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11" fillId="5" borderId="11" xfId="0" applyFont="1" applyFill="1" applyBorder="1" applyAlignment="1" applyProtection="1">
      <alignment horizontal="left"/>
    </xf>
    <xf numFmtId="0" fontId="0" fillId="0" borderId="0" xfId="0"/>
    <xf numFmtId="164" fontId="62" fillId="27" borderId="96" xfId="0" applyNumberFormat="1" applyFont="1" applyFill="1" applyBorder="1" applyAlignment="1">
      <alignment horizontal="center" vertical="center"/>
    </xf>
    <xf numFmtId="164" fontId="12" fillId="0" borderId="19" xfId="0" applyNumberFormat="1" applyFont="1" applyFill="1" applyBorder="1" applyAlignment="1" applyProtection="1"/>
    <xf numFmtId="164" fontId="12" fillId="5" borderId="28" xfId="0" applyNumberFormat="1" applyFont="1" applyFill="1" applyBorder="1" applyAlignment="1" applyProtection="1"/>
    <xf numFmtId="10" fontId="12" fillId="5" borderId="29" xfId="0" applyNumberFormat="1" applyFont="1" applyFill="1" applyBorder="1" applyAlignment="1"/>
    <xf numFmtId="9" fontId="12" fillId="5" borderId="74" xfId="0" applyNumberFormat="1" applyFont="1" applyFill="1" applyBorder="1" applyAlignment="1"/>
    <xf numFmtId="1" fontId="12" fillId="6" borderId="34" xfId="0" applyNumberFormat="1" applyFont="1" applyFill="1" applyBorder="1" applyAlignment="1"/>
    <xf numFmtId="10" fontId="12" fillId="6" borderId="35" xfId="0" applyNumberFormat="1" applyFont="1" applyFill="1" applyBorder="1" applyAlignment="1"/>
    <xf numFmtId="9" fontId="12" fillId="6" borderId="75" xfId="0" applyNumberFormat="1" applyFont="1" applyFill="1" applyBorder="1" applyAlignment="1"/>
    <xf numFmtId="164" fontId="12" fillId="5" borderId="34" xfId="0" applyNumberFormat="1" applyFont="1" applyFill="1" applyBorder="1" applyAlignment="1"/>
    <xf numFmtId="164" fontId="12" fillId="6" borderId="48" xfId="0" applyNumberFormat="1" applyFont="1" applyFill="1" applyBorder="1" applyAlignment="1"/>
    <xf numFmtId="9" fontId="12" fillId="6" borderId="43" xfId="0" applyNumberFormat="1" applyFont="1" applyFill="1" applyBorder="1" applyAlignment="1"/>
    <xf numFmtId="9" fontId="12" fillId="6" borderId="109" xfId="0" applyNumberFormat="1" applyFont="1" applyFill="1" applyBorder="1" applyAlignment="1"/>
    <xf numFmtId="0" fontId="11" fillId="6" borderId="110" xfId="0" applyFont="1" applyFill="1" applyBorder="1" applyAlignment="1">
      <alignment horizontal="right"/>
    </xf>
    <xf numFmtId="2" fontId="12" fillId="6" borderId="12" xfId="0" applyNumberFormat="1" applyFont="1" applyFill="1" applyBorder="1" applyAlignment="1"/>
    <xf numFmtId="0" fontId="20" fillId="6" borderId="12" xfId="0" applyFont="1" applyFill="1" applyBorder="1" applyAlignment="1"/>
    <xf numFmtId="9" fontId="12" fillId="6" borderId="12" xfId="0" applyNumberFormat="1" applyFont="1" applyFill="1" applyBorder="1" applyAlignment="1"/>
    <xf numFmtId="9" fontId="12" fillId="6" borderId="13" xfId="0" applyNumberFormat="1" applyFont="1" applyFill="1" applyBorder="1" applyAlignment="1"/>
    <xf numFmtId="164" fontId="12" fillId="6" borderId="12" xfId="0" applyNumberFormat="1" applyFont="1" applyFill="1" applyBorder="1" applyAlignment="1"/>
    <xf numFmtId="164" fontId="12" fillId="5" borderId="9" xfId="0" applyNumberFormat="1" applyFont="1" applyFill="1" applyBorder="1" applyAlignment="1"/>
    <xf numFmtId="164" fontId="12" fillId="7" borderId="12" xfId="0" applyNumberFormat="1" applyFont="1" applyFill="1" applyBorder="1" applyAlignment="1"/>
    <xf numFmtId="1" fontId="12" fillId="5" borderId="28" xfId="0" applyNumberFormat="1" applyFont="1" applyFill="1" applyBorder="1" applyAlignment="1"/>
    <xf numFmtId="164" fontId="12" fillId="6" borderId="34" xfId="0" applyNumberFormat="1" applyFont="1" applyFill="1" applyBorder="1" applyAlignment="1"/>
    <xf numFmtId="9" fontId="12" fillId="6" borderId="35" xfId="0" applyNumberFormat="1" applyFont="1" applyFill="1" applyBorder="1" applyAlignment="1"/>
    <xf numFmtId="2" fontId="12" fillId="5" borderId="34" xfId="0" applyNumberFormat="1" applyFont="1" applyFill="1" applyBorder="1" applyAlignment="1"/>
    <xf numFmtId="2" fontId="12" fillId="6" borderId="34" xfId="0" applyNumberFormat="1" applyFont="1" applyFill="1" applyBorder="1" applyAlignment="1"/>
    <xf numFmtId="9" fontId="12" fillId="5" borderId="35" xfId="0" applyNumberFormat="1" applyFont="1" applyFill="1" applyBorder="1" applyAlignment="1"/>
    <xf numFmtId="9" fontId="12" fillId="5" borderId="75" xfId="0" applyNumberFormat="1" applyFont="1" applyFill="1" applyBorder="1" applyAlignment="1"/>
    <xf numFmtId="9" fontId="12" fillId="6" borderId="76" xfId="0" applyNumberFormat="1" applyFont="1" applyFill="1" applyBorder="1" applyAlignment="1"/>
    <xf numFmtId="164" fontId="12" fillId="5" borderId="38" xfId="0" applyNumberFormat="1" applyFont="1" applyFill="1" applyBorder="1" applyAlignment="1"/>
    <xf numFmtId="9" fontId="12" fillId="5" borderId="22" xfId="0" applyNumberFormat="1" applyFont="1" applyFill="1" applyBorder="1" applyAlignment="1">
      <alignment horizontal="right"/>
    </xf>
    <xf numFmtId="9" fontId="12" fillId="5" borderId="41" xfId="0" applyNumberFormat="1" applyFont="1" applyFill="1" applyBorder="1" applyAlignment="1">
      <alignment horizontal="right"/>
    </xf>
    <xf numFmtId="9" fontId="12" fillId="5" borderId="29" xfId="0" applyNumberFormat="1" applyFont="1" applyFill="1" applyBorder="1" applyAlignment="1"/>
    <xf numFmtId="1" fontId="12" fillId="5" borderId="34" xfId="0" applyNumberFormat="1" applyFont="1" applyFill="1" applyBorder="1" applyAlignment="1"/>
    <xf numFmtId="9" fontId="12" fillId="6" borderId="12" xfId="0" applyNumberFormat="1" applyFont="1" applyFill="1" applyBorder="1" applyAlignment="1">
      <alignment horizontal="right"/>
    </xf>
    <xf numFmtId="9" fontId="12" fillId="6" borderId="13" xfId="0" applyNumberFormat="1" applyFont="1" applyFill="1" applyBorder="1" applyAlignment="1">
      <alignment horizontal="right"/>
    </xf>
    <xf numFmtId="1" fontId="12" fillId="5" borderId="48" xfId="0" applyNumberFormat="1" applyFont="1" applyFill="1" applyBorder="1" applyAlignment="1"/>
    <xf numFmtId="164" fontId="12" fillId="6" borderId="50" xfId="0" applyNumberFormat="1" applyFont="1" applyFill="1" applyBorder="1" applyAlignment="1"/>
    <xf numFmtId="9" fontId="12" fillId="6" borderId="19" xfId="0" applyNumberFormat="1" applyFont="1" applyFill="1" applyBorder="1" applyAlignment="1">
      <alignment horizontal="right"/>
    </xf>
    <xf numFmtId="9" fontId="12" fillId="6" borderId="46" xfId="0" applyNumberFormat="1" applyFont="1" applyFill="1" applyBorder="1" applyAlignment="1">
      <alignment horizontal="right"/>
    </xf>
    <xf numFmtId="0" fontId="21" fillId="15" borderId="25" xfId="0" applyFont="1" applyFill="1" applyBorder="1"/>
    <xf numFmtId="9" fontId="17" fillId="15" borderId="22" xfId="0" applyNumberFormat="1" applyFont="1" applyFill="1" applyBorder="1"/>
    <xf numFmtId="0" fontId="21" fillId="15" borderId="22" xfId="0" applyFont="1" applyFill="1" applyBorder="1"/>
    <xf numFmtId="9" fontId="3" fillId="15" borderId="41" xfId="0" applyNumberFormat="1" applyFont="1" applyFill="1" applyBorder="1"/>
    <xf numFmtId="164" fontId="19" fillId="6" borderId="48" xfId="0" applyNumberFormat="1" applyFont="1" applyFill="1" applyBorder="1" applyAlignment="1"/>
    <xf numFmtId="164" fontId="19" fillId="5" borderId="9" xfId="0" applyNumberFormat="1" applyFont="1" applyFill="1" applyBorder="1" applyAlignment="1"/>
    <xf numFmtId="9" fontId="19" fillId="6" borderId="12" xfId="0" applyNumberFormat="1" applyFont="1" applyFill="1" applyBorder="1" applyAlignment="1"/>
    <xf numFmtId="2" fontId="19" fillId="7" borderId="22" xfId="0" applyNumberFormat="1" applyFont="1" applyFill="1" applyBorder="1" applyAlignment="1"/>
    <xf numFmtId="2" fontId="19" fillId="6" borderId="12" xfId="0" applyNumberFormat="1" applyFont="1" applyFill="1" applyBorder="1" applyAlignment="1"/>
    <xf numFmtId="1" fontId="19" fillId="5" borderId="28" xfId="0" applyNumberFormat="1" applyFont="1" applyFill="1" applyBorder="1" applyAlignment="1"/>
    <xf numFmtId="0" fontId="33" fillId="21" borderId="1" xfId="0" applyFont="1" applyFill="1" applyBorder="1" applyAlignment="1">
      <alignment horizontal="center" vertical="center" wrapText="1"/>
    </xf>
    <xf numFmtId="0" fontId="0" fillId="21" borderId="2" xfId="0" applyFill="1" applyBorder="1" applyAlignment="1">
      <alignment horizontal="center" vertical="center"/>
    </xf>
    <xf numFmtId="0" fontId="0" fillId="21" borderId="3" xfId="0" applyFill="1" applyBorder="1" applyAlignment="1">
      <alignment horizontal="center" vertical="center"/>
    </xf>
    <xf numFmtId="0" fontId="0" fillId="21" borderId="55" xfId="0" applyFill="1" applyBorder="1" applyAlignment="1">
      <alignment horizontal="center" vertical="center"/>
    </xf>
    <xf numFmtId="0" fontId="0" fillId="21" borderId="0" xfId="0" applyFill="1" applyBorder="1" applyAlignment="1">
      <alignment horizontal="center" vertical="center"/>
    </xf>
    <xf numFmtId="0" fontId="0" fillId="21" borderId="16" xfId="0" applyFill="1" applyBorder="1" applyAlignment="1">
      <alignment horizontal="center" vertical="center"/>
    </xf>
    <xf numFmtId="0" fontId="0" fillId="21" borderId="59" xfId="0" applyFill="1" applyBorder="1" applyAlignment="1">
      <alignment horizontal="center" vertical="center"/>
    </xf>
    <xf numFmtId="0" fontId="0" fillId="21" borderId="60" xfId="0" applyFill="1" applyBorder="1" applyAlignment="1">
      <alignment horizontal="center" vertical="center"/>
    </xf>
    <xf numFmtId="0" fontId="0" fillId="21" borderId="42" xfId="0" applyFill="1" applyBorder="1" applyAlignment="1">
      <alignment horizontal="center" vertical="center"/>
    </xf>
    <xf numFmtId="0" fontId="38" fillId="22" borderId="72" xfId="0" applyFont="1" applyFill="1" applyBorder="1" applyAlignment="1">
      <alignment horizontal="center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6" fillId="23" borderId="5" xfId="0" applyFont="1" applyFill="1" applyBorder="1" applyAlignment="1" applyProtection="1">
      <alignment horizontal="center" vertical="center" wrapText="1"/>
    </xf>
    <xf numFmtId="0" fontId="7" fillId="23" borderId="6" xfId="0" applyFont="1" applyFill="1" applyBorder="1" applyAlignment="1" applyProtection="1">
      <alignment horizontal="center" vertical="center" wrapText="1"/>
    </xf>
    <xf numFmtId="0" fontId="7" fillId="23" borderId="7" xfId="0" applyFont="1" applyFill="1" applyBorder="1" applyAlignment="1" applyProtection="1">
      <alignment horizontal="center" vertical="center" wrapText="1"/>
    </xf>
    <xf numFmtId="0" fontId="8" fillId="33" borderId="5" xfId="0" applyFont="1" applyFill="1" applyBorder="1" applyAlignment="1" applyProtection="1">
      <alignment horizontal="center" vertical="center" wrapText="1"/>
    </xf>
    <xf numFmtId="0" fontId="10" fillId="33" borderId="7" xfId="0" applyFont="1" applyFill="1" applyBorder="1" applyAlignment="1">
      <alignment horizontal="center" vertical="center" wrapText="1"/>
    </xf>
    <xf numFmtId="0" fontId="14" fillId="24" borderId="5" xfId="0" applyFont="1" applyFill="1" applyBorder="1" applyAlignment="1" applyProtection="1">
      <alignment horizontal="left" vertical="center"/>
    </xf>
    <xf numFmtId="0" fontId="15" fillId="23" borderId="7" xfId="0" applyFont="1" applyFill="1" applyBorder="1" applyAlignment="1">
      <alignment vertical="center"/>
    </xf>
    <xf numFmtId="0" fontId="14" fillId="24" borderId="5" xfId="0" applyFont="1" applyFill="1" applyBorder="1" applyAlignment="1" applyProtection="1">
      <alignment horizontal="left" vertical="center" wrapText="1"/>
    </xf>
    <xf numFmtId="0" fontId="16" fillId="23" borderId="7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49" fillId="23" borderId="5" xfId="0" applyFont="1" applyFill="1" applyBorder="1" applyAlignment="1">
      <alignment horizontal="center" vertical="center" wrapText="1"/>
    </xf>
    <xf numFmtId="0" fontId="49" fillId="23" borderId="6" xfId="0" applyFont="1" applyFill="1" applyBorder="1" applyAlignment="1">
      <alignment horizontal="center" vertical="center" wrapText="1"/>
    </xf>
    <xf numFmtId="0" fontId="49" fillId="23" borderId="7" xfId="0" applyFont="1" applyFill="1" applyBorder="1" applyAlignment="1">
      <alignment horizontal="center" vertical="center" wrapText="1"/>
    </xf>
    <xf numFmtId="0" fontId="8" fillId="19" borderId="5" xfId="0" applyFont="1" applyFill="1" applyBorder="1" applyAlignment="1">
      <alignment vertical="center" wrapText="1"/>
    </xf>
    <xf numFmtId="0" fontId="8" fillId="19" borderId="7" xfId="0" applyFont="1" applyFill="1" applyBorder="1" applyAlignment="1">
      <alignment vertical="center" wrapText="1"/>
    </xf>
    <xf numFmtId="0" fontId="14" fillId="24" borderId="5" xfId="0" applyFont="1" applyFill="1" applyBorder="1" applyAlignment="1">
      <alignment horizontal="left" vertical="center"/>
    </xf>
    <xf numFmtId="0" fontId="23" fillId="23" borderId="42" xfId="0" applyFont="1" applyFill="1" applyBorder="1" applyAlignment="1">
      <alignment horizontal="left" vertical="center"/>
    </xf>
    <xf numFmtId="0" fontId="23" fillId="23" borderId="7" xfId="0" applyFont="1" applyFill="1" applyBorder="1" applyAlignment="1">
      <alignment vertical="center"/>
    </xf>
    <xf numFmtId="0" fontId="48" fillId="23" borderId="1" xfId="0" applyFont="1" applyFill="1" applyBorder="1" applyAlignment="1">
      <alignment horizontal="center" vertical="center"/>
    </xf>
    <xf numFmtId="0" fontId="48" fillId="23" borderId="2" xfId="0" applyFont="1" applyFill="1" applyBorder="1" applyAlignment="1">
      <alignment horizontal="center" vertical="center"/>
    </xf>
    <xf numFmtId="0" fontId="23" fillId="34" borderId="5" xfId="0" applyFont="1" applyFill="1" applyBorder="1"/>
    <xf numFmtId="0" fontId="23" fillId="34" borderId="7" xfId="0" applyFont="1" applyFill="1" applyBorder="1"/>
    <xf numFmtId="0" fontId="23" fillId="23" borderId="5" xfId="0" applyFont="1" applyFill="1" applyBorder="1"/>
    <xf numFmtId="0" fontId="23" fillId="23" borderId="7" xfId="0" applyFont="1" applyFill="1" applyBorder="1"/>
    <xf numFmtId="0" fontId="52" fillId="0" borderId="5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3" fillId="2" borderId="5" xfId="0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horizontal="center"/>
    </xf>
    <xf numFmtId="0" fontId="17" fillId="9" borderId="57" xfId="0" applyFont="1" applyFill="1" applyBorder="1" applyAlignment="1">
      <alignment horizontal="center"/>
    </xf>
    <xf numFmtId="0" fontId="17" fillId="9" borderId="80" xfId="0" applyFont="1" applyFill="1" applyBorder="1" applyAlignment="1">
      <alignment horizontal="center"/>
    </xf>
    <xf numFmtId="0" fontId="60" fillId="32" borderId="55" xfId="0" applyFont="1" applyFill="1" applyBorder="1" applyAlignment="1">
      <alignment horizontal="left" vertical="center" wrapText="1"/>
    </xf>
    <xf numFmtId="0" fontId="60" fillId="32" borderId="2" xfId="0" applyFont="1" applyFill="1" applyBorder="1" applyAlignment="1">
      <alignment horizontal="left" vertical="center"/>
    </xf>
    <xf numFmtId="0" fontId="60" fillId="32" borderId="5" xfId="0" applyFont="1" applyFill="1" applyBorder="1" applyAlignment="1">
      <alignment horizontal="center" vertical="center"/>
    </xf>
    <xf numFmtId="0" fontId="60" fillId="32" borderId="6" xfId="0" applyFont="1" applyFill="1" applyBorder="1" applyAlignment="1">
      <alignment horizontal="center" vertical="center"/>
    </xf>
    <xf numFmtId="0" fontId="66" fillId="9" borderId="1" xfId="0" applyFont="1" applyFill="1" applyBorder="1" applyAlignment="1">
      <alignment horizontal="right" vertical="center"/>
    </xf>
    <xf numFmtId="0" fontId="66" fillId="9" borderId="3" xfId="0" applyFont="1" applyFill="1" applyBorder="1" applyAlignment="1">
      <alignment horizontal="right" vertical="center"/>
    </xf>
    <xf numFmtId="0" fontId="2" fillId="20" borderId="56" xfId="0" applyFont="1" applyFill="1" applyBorder="1" applyAlignment="1">
      <alignment horizontal="center" vertical="center" wrapText="1"/>
    </xf>
    <xf numFmtId="0" fontId="2" fillId="20" borderId="57" xfId="0" applyFont="1" applyFill="1" applyBorder="1" applyAlignment="1">
      <alignment horizontal="center" vertical="center" wrapText="1"/>
    </xf>
    <xf numFmtId="0" fontId="2" fillId="20" borderId="2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16" borderId="53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25" fillId="17" borderId="2" xfId="0" applyFont="1" applyFill="1" applyBorder="1" applyAlignment="1">
      <alignment horizontal="center" vertical="center" wrapText="1"/>
    </xf>
    <xf numFmtId="0" fontId="25" fillId="17" borderId="0" xfId="0" applyFont="1" applyFill="1" applyBorder="1" applyAlignment="1">
      <alignment horizontal="center" vertical="center" wrapText="1"/>
    </xf>
    <xf numFmtId="0" fontId="2" fillId="18" borderId="56" xfId="0" applyFont="1" applyFill="1" applyBorder="1" applyAlignment="1">
      <alignment horizontal="center" vertical="center" wrapText="1"/>
    </xf>
    <xf numFmtId="0" fontId="2" fillId="18" borderId="57" xfId="0" applyFont="1" applyFill="1" applyBorder="1" applyAlignment="1">
      <alignment horizontal="center" vertical="center" wrapText="1"/>
    </xf>
    <xf numFmtId="0" fontId="2" fillId="18" borderId="26" xfId="0" applyFont="1" applyFill="1" applyBorder="1" applyAlignment="1">
      <alignment horizontal="center" vertical="center" wrapText="1"/>
    </xf>
    <xf numFmtId="0" fontId="2" fillId="19" borderId="56" xfId="0" applyFont="1" applyFill="1" applyBorder="1" applyAlignment="1">
      <alignment horizontal="center" vertical="center" wrapText="1"/>
    </xf>
    <xf numFmtId="0" fontId="2" fillId="19" borderId="57" xfId="0" applyFont="1" applyFill="1" applyBorder="1" applyAlignment="1">
      <alignment horizontal="center" vertical="center" wrapText="1"/>
    </xf>
    <xf numFmtId="0" fontId="2" fillId="19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D0FFA1"/>
      <color rgb="FFC0E399"/>
      <color rgb="FFC6EFCE"/>
      <color rgb="FFE2F0E0"/>
      <color rgb="FF1C4D58"/>
      <color rgb="FFFFCCFF"/>
      <color rgb="FFFF99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nalog to Anamix EY'!A1"/><Relationship Id="rId7" Type="http://schemas.openxmlformats.org/officeDocument/2006/relationships/hyperlink" Target="#'Product Range'!A1"/><Relationship Id="rId2" Type="http://schemas.openxmlformats.org/officeDocument/2006/relationships/hyperlink" Target="#'GlutarAde Essential'!A1"/><Relationship Id="rId1" Type="http://schemas.openxmlformats.org/officeDocument/2006/relationships/hyperlink" Target="#'GA-1 Anamix Early Years'!A1"/><Relationship Id="rId6" Type="http://schemas.openxmlformats.org/officeDocument/2006/relationships/hyperlink" Target="#'GlutarAde Junior'!A1"/><Relationship Id="rId11" Type="http://schemas.openxmlformats.org/officeDocument/2006/relationships/image" Target="../media/image3.png"/><Relationship Id="rId5" Type="http://schemas.openxmlformats.org/officeDocument/2006/relationships/hyperlink" Target="#MJ!A1"/><Relationship Id="rId10" Type="http://schemas.openxmlformats.org/officeDocument/2006/relationships/image" Target="../media/image2.png"/><Relationship Id="rId4" Type="http://schemas.openxmlformats.org/officeDocument/2006/relationships/hyperlink" Target="#Abbott!A1"/><Relationship Id="rId9" Type="http://schemas.openxmlformats.org/officeDocument/2006/relationships/hyperlink" Target="#'Anamix EY to Essenti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126546</xdr:colOff>
      <xdr:row>12</xdr:row>
      <xdr:rowOff>3462</xdr:rowOff>
    </xdr:from>
    <xdr:to>
      <xdr:col>9</xdr:col>
      <xdr:colOff>31296</xdr:colOff>
      <xdr:row>28</xdr:row>
      <xdr:rowOff>76200</xdr:rowOff>
    </xdr:to>
    <xdr:sp macro="" textlink="">
      <xdr:nvSpPr>
        <xdr:cNvPr id="2" name="TextBox 1"/>
        <xdr:cNvSpPr txBox="1"/>
      </xdr:nvSpPr>
      <xdr:spPr>
        <a:xfrm>
          <a:off x="2155371" y="2327562"/>
          <a:ext cx="2952750" cy="3120738"/>
        </a:xfrm>
        <a:prstGeom prst="roundRect">
          <a:avLst>
            <a:gd name="adj" fmla="val 4086"/>
          </a:avLst>
        </a:prstGeom>
        <a:solidFill>
          <a:schemeClr val="accent4">
            <a:lumMod val="40000"/>
            <a:lumOff val="60000"/>
          </a:schemeClr>
        </a:solidFill>
        <a:ln/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en-US" sz="900" b="0" u="none">
              <a:latin typeface="Arial" panose="020B0604020202020204" pitchFamily="34" charset="0"/>
              <a:cs typeface="Arial" panose="020B0604020202020204" pitchFamily="34" charset="0"/>
            </a:rPr>
            <a:t>- GA-1 Anamix</a:t>
          </a:r>
          <a:r>
            <a:rPr lang="en-US" sz="900" b="0" u="none" baseline="30000"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900" b="0" u="none">
              <a:latin typeface="Arial" panose="020B0604020202020204" pitchFamily="34" charset="0"/>
              <a:cs typeface="Arial" panose="020B0604020202020204" pitchFamily="34" charset="0"/>
            </a:rPr>
            <a:t> Early Years </a:t>
          </a:r>
        </a:p>
        <a:p>
          <a:pPr algn="l">
            <a:lnSpc>
              <a:spcPts val="1100"/>
            </a:lnSpc>
          </a:pPr>
          <a:r>
            <a:rPr lang="en-US" sz="900" b="0" u="none">
              <a:latin typeface="Arial" panose="020B0604020202020204" pitchFamily="34" charset="0"/>
              <a:cs typeface="Arial" panose="020B0604020202020204" pitchFamily="34" charset="0"/>
            </a:rPr>
            <a:t>- GlutarAde™ Junior</a:t>
          </a:r>
          <a:r>
            <a:rPr lang="en-US" sz="900" b="0" u="none" baseline="0">
              <a:latin typeface="Arial" panose="020B0604020202020204" pitchFamily="34" charset="0"/>
              <a:cs typeface="Arial" panose="020B0604020202020204" pitchFamily="34" charset="0"/>
            </a:rPr>
            <a:t> GA-1 Drink Mix</a:t>
          </a:r>
        </a:p>
        <a:p>
          <a:pPr algn="l">
            <a:lnSpc>
              <a:spcPts val="1100"/>
            </a:lnSpc>
          </a:pPr>
          <a:r>
            <a:rPr lang="en-US" sz="900" b="0" u="none" baseline="0">
              <a:latin typeface="Arial" panose="020B0604020202020204" pitchFamily="34" charset="0"/>
              <a:cs typeface="Arial" panose="020B0604020202020204" pitchFamily="34" charset="0"/>
            </a:rPr>
            <a:t>- GlutarAde</a:t>
          </a:r>
          <a:r>
            <a:rPr lang="en-US" sz="900" b="0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™</a:t>
          </a:r>
          <a:r>
            <a:rPr lang="en-US" sz="900" b="0" u="none" baseline="0">
              <a:latin typeface="Arial" panose="020B0604020202020204" pitchFamily="34" charset="0"/>
              <a:cs typeface="Arial" panose="020B0604020202020204" pitchFamily="34" charset="0"/>
            </a:rPr>
            <a:t> Essential GA-1 Drink Mix</a:t>
          </a:r>
          <a:endParaRPr lang="en-US" sz="900" b="0" u="none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ts val="1100"/>
            </a:lnSpc>
          </a:pPr>
          <a:endParaRPr lang="en-US" sz="1000" b="1" u="sng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ts val="1100"/>
            </a:lnSpc>
          </a:pPr>
          <a:r>
            <a:rPr lang="en-US" sz="1200" b="1" u="sng">
              <a:latin typeface="Arial" panose="020B0604020202020204" pitchFamily="34" charset="0"/>
              <a:cs typeface="Arial" panose="020B0604020202020204" pitchFamily="34" charset="0"/>
            </a:rPr>
            <a:t>DRI Charts</a:t>
          </a:r>
        </a:p>
        <a:p>
          <a:pPr>
            <a:lnSpc>
              <a:spcPts val="1100"/>
            </a:lnSpc>
          </a:pP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This is a great interactive tool to ensure your patients' nutritional needs are met!</a:t>
          </a:r>
        </a:p>
        <a:p>
          <a:pPr>
            <a:lnSpc>
              <a:spcPts val="1100"/>
            </a:lnSpc>
          </a:pP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Please refer to the appropriate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product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tab at the bottom of the page. </a:t>
          </a:r>
        </a:p>
        <a:p>
          <a:pPr>
            <a:lnSpc>
              <a:spcPts val="1100"/>
            </a:lnSpc>
          </a:pP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In the Yellow Box just type in the grams of protein equivalent (PE) your patient receives from product and press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the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 enter key. You will then see in Column B the amount of macro- &amp; micro-nutrients your patient will receive with our product. Then look to your right to see how well that amount compares to the appropriate age group in the DRI chart.</a:t>
          </a:r>
        </a:p>
      </xdr:txBody>
    </xdr:sp>
    <xdr:clientData/>
  </xdr:twoCellAnchor>
  <xdr:twoCellAnchor>
    <xdr:from>
      <xdr:col>4</xdr:col>
      <xdr:colOff>461282</xdr:colOff>
      <xdr:row>32</xdr:row>
      <xdr:rowOff>16596</xdr:rowOff>
    </xdr:from>
    <xdr:to>
      <xdr:col>6</xdr:col>
      <xdr:colOff>342903</xdr:colOff>
      <xdr:row>35</xdr:row>
      <xdr:rowOff>5190</xdr:rowOff>
    </xdr:to>
    <xdr:sp macro="" textlink="">
      <xdr:nvSpPr>
        <xdr:cNvPr id="6" name="TextBox 5">
          <a:hlinkClick xmlns:r="http://schemas.openxmlformats.org/officeDocument/2006/relationships" r:id="rId1"/>
        </xdr:cNvPr>
        <xdr:cNvSpPr txBox="1"/>
      </xdr:nvSpPr>
      <xdr:spPr>
        <a:xfrm>
          <a:off x="2502353" y="6738525"/>
          <a:ext cx="1106264" cy="56009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baseline="0">
              <a:latin typeface="Arial" panose="020B0604020202020204" pitchFamily="34" charset="0"/>
              <a:cs typeface="Arial" panose="020B0604020202020204" pitchFamily="34" charset="0"/>
            </a:rPr>
            <a:t>GA-1 Anamix Early Years DRIs</a:t>
          </a:r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226219</xdr:colOff>
      <xdr:row>35</xdr:row>
      <xdr:rowOff>84667</xdr:rowOff>
    </xdr:from>
    <xdr:to>
      <xdr:col>11</xdr:col>
      <xdr:colOff>476249</xdr:colOff>
      <xdr:row>41</xdr:row>
      <xdr:rowOff>0</xdr:rowOff>
    </xdr:to>
    <xdr:sp macro="" textlink="">
      <xdr:nvSpPr>
        <xdr:cNvPr id="11" name="TextBox 10"/>
        <xdr:cNvSpPr txBox="1"/>
      </xdr:nvSpPr>
      <xdr:spPr>
        <a:xfrm>
          <a:off x="1035844" y="7371292"/>
          <a:ext cx="5714999" cy="105833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 u="sng">
              <a:latin typeface="Arial" panose="020B0604020202020204" pitchFamily="34" charset="0"/>
              <a:cs typeface="Arial" panose="020B0604020202020204" pitchFamily="34" charset="0"/>
            </a:rPr>
            <a:t>Further Questions/Assistance?</a:t>
          </a:r>
        </a:p>
        <a:p>
          <a:r>
            <a:rPr lang="en-US" sz="1100" i="1">
              <a:latin typeface="Arial" panose="020B0604020202020204" pitchFamily="34" charset="0"/>
              <a:cs typeface="Arial" panose="020B0604020202020204" pitchFamily="34" charset="0"/>
            </a:rPr>
            <a:t>Please reach out to our Nutrition Specialists at: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2200" b="1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→ 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Phone at </a:t>
          </a:r>
          <a:r>
            <a:rPr lang="en-US" sz="1100" b="1" u="none">
              <a:latin typeface="Arial" panose="020B0604020202020204" pitchFamily="34" charset="0"/>
              <a:cs typeface="Arial" panose="020B0604020202020204" pitchFamily="34" charset="0"/>
            </a:rPr>
            <a:t>1.800.365.7354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u="none">
              <a:latin typeface="Arial" panose="020B0604020202020204" pitchFamily="34" charset="0"/>
              <a:cs typeface="Arial" panose="020B0604020202020204" pitchFamily="34" charset="0"/>
            </a:rPr>
            <a:t>(option 2) 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available from 8:30 am - 5 pm EST Mon-Fri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200" b="1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→ </a:t>
          </a:r>
          <a:r>
            <a:rPr lang="en-US" sz="1100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Email</a:t>
          </a:r>
          <a:r>
            <a:rPr lang="en-US" sz="1100" u="non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</a:t>
          </a:r>
          <a:r>
            <a:rPr lang="en-US" sz="1100" b="1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NutritionServices@Nutricia.com</a:t>
          </a:r>
          <a:r>
            <a:rPr lang="en-US" sz="1100" b="1" u="non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216478</xdr:colOff>
      <xdr:row>28</xdr:row>
      <xdr:rowOff>10583</xdr:rowOff>
    </xdr:from>
    <xdr:to>
      <xdr:col>13</xdr:col>
      <xdr:colOff>502228</xdr:colOff>
      <xdr:row>31</xdr:row>
      <xdr:rowOff>52916</xdr:rowOff>
    </xdr:to>
    <xdr:sp macro="" textlink="">
      <xdr:nvSpPr>
        <xdr:cNvPr id="12" name="TextBox 11"/>
        <xdr:cNvSpPr txBox="1"/>
      </xdr:nvSpPr>
      <xdr:spPr>
        <a:xfrm>
          <a:off x="5942061" y="5386916"/>
          <a:ext cx="2127250" cy="613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0000"/>
              </a:solidFill>
              <a:effectLst>
                <a:outerShdw blurRad="50800" dist="38100" dir="16200000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</a:rPr>
            <a:t>Quick-click here to visit the tab you need!</a:t>
          </a:r>
          <a:r>
            <a:rPr lang="en-US" sz="1100">
              <a:solidFill>
                <a:srgbClr val="FF0000"/>
              </a:solidFill>
              <a:latin typeface="Arial Rounded MT Bold" panose="020F0704030504030204" pitchFamily="34" charset="0"/>
            </a:rPr>
            <a:t>   </a:t>
          </a:r>
        </a:p>
      </xdr:txBody>
    </xdr:sp>
    <xdr:clientData/>
  </xdr:twoCellAnchor>
  <xdr:twoCellAnchor>
    <xdr:from>
      <xdr:col>13</xdr:col>
      <xdr:colOff>137584</xdr:colOff>
      <xdr:row>30</xdr:row>
      <xdr:rowOff>52917</xdr:rowOff>
    </xdr:from>
    <xdr:to>
      <xdr:col>14</xdr:col>
      <xdr:colOff>317500</xdr:colOff>
      <xdr:row>31</xdr:row>
      <xdr:rowOff>111125</xdr:rowOff>
    </xdr:to>
    <xdr:cxnSp macro="">
      <xdr:nvCxnSpPr>
        <xdr:cNvPr id="13" name="Straight Arrow Connector 12"/>
        <xdr:cNvCxnSpPr/>
      </xdr:nvCxnSpPr>
      <xdr:spPr>
        <a:xfrm>
          <a:off x="7704667" y="5810250"/>
          <a:ext cx="793750" cy="24870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502228</xdr:colOff>
      <xdr:row>29</xdr:row>
      <xdr:rowOff>127000</xdr:rowOff>
    </xdr:from>
    <xdr:to>
      <xdr:col>16</xdr:col>
      <xdr:colOff>603250</xdr:colOff>
      <xdr:row>31</xdr:row>
      <xdr:rowOff>84667</xdr:rowOff>
    </xdr:to>
    <xdr:cxnSp macro="">
      <xdr:nvCxnSpPr>
        <xdr:cNvPr id="14" name="Straight Arrow Connector 13"/>
        <xdr:cNvCxnSpPr>
          <a:stCxn id="12" idx="3"/>
        </xdr:cNvCxnSpPr>
      </xdr:nvCxnSpPr>
      <xdr:spPr>
        <a:xfrm>
          <a:off x="8069311" y="5693833"/>
          <a:ext cx="1942522" cy="33866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578828</xdr:colOff>
      <xdr:row>30</xdr:row>
      <xdr:rowOff>52917</xdr:rowOff>
    </xdr:from>
    <xdr:to>
      <xdr:col>11</xdr:col>
      <xdr:colOff>52916</xdr:colOff>
      <xdr:row>31</xdr:row>
      <xdr:rowOff>117230</xdr:rowOff>
    </xdr:to>
    <xdr:cxnSp macro="">
      <xdr:nvCxnSpPr>
        <xdr:cNvPr id="15" name="Straight Arrow Connector 14"/>
        <xdr:cNvCxnSpPr/>
      </xdr:nvCxnSpPr>
      <xdr:spPr>
        <a:xfrm flipH="1">
          <a:off x="5690578" y="5810250"/>
          <a:ext cx="701755" cy="254813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301625</xdr:colOff>
      <xdr:row>29</xdr:row>
      <xdr:rowOff>127000</xdr:rowOff>
    </xdr:from>
    <xdr:to>
      <xdr:col>10</xdr:col>
      <xdr:colOff>216478</xdr:colOff>
      <xdr:row>31</xdr:row>
      <xdr:rowOff>150813</xdr:rowOff>
    </xdr:to>
    <xdr:cxnSp macro="">
      <xdr:nvCxnSpPr>
        <xdr:cNvPr id="16" name="Straight Arrow Connector 15"/>
        <xdr:cNvCxnSpPr>
          <a:stCxn id="12" idx="1"/>
        </xdr:cNvCxnSpPr>
      </xdr:nvCxnSpPr>
      <xdr:spPr>
        <a:xfrm flipH="1">
          <a:off x="3571875" y="5693833"/>
          <a:ext cx="2370186" cy="404813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69776</xdr:colOff>
      <xdr:row>32</xdr:row>
      <xdr:rowOff>8658</xdr:rowOff>
    </xdr:from>
    <xdr:to>
      <xdr:col>10</xdr:col>
      <xdr:colOff>554012</xdr:colOff>
      <xdr:row>34</xdr:row>
      <xdr:rowOff>190113</xdr:rowOff>
    </xdr:to>
    <xdr:sp macro="" textlink="">
      <xdr:nvSpPr>
        <xdr:cNvPr id="17" name="TextBox 16">
          <a:hlinkClick xmlns:r="http://schemas.openxmlformats.org/officeDocument/2006/relationships" r:id="rId2"/>
        </xdr:cNvPr>
        <xdr:cNvSpPr txBox="1"/>
      </xdr:nvSpPr>
      <xdr:spPr>
        <a:xfrm>
          <a:off x="5157714" y="6707908"/>
          <a:ext cx="1095423" cy="56245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GlutarAde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Essential DRIs</a:t>
          </a:r>
          <a:endParaRPr lang="en-US" sz="900">
            <a:effectLst/>
          </a:endParaRPr>
        </a:p>
      </xdr:txBody>
    </xdr:sp>
    <xdr:clientData/>
  </xdr:twoCellAnchor>
  <xdr:twoCellAnchor>
    <xdr:from>
      <xdr:col>12</xdr:col>
      <xdr:colOff>323658</xdr:colOff>
      <xdr:row>35</xdr:row>
      <xdr:rowOff>82022</xdr:rowOff>
    </xdr:from>
    <xdr:to>
      <xdr:col>22</xdr:col>
      <xdr:colOff>247650</xdr:colOff>
      <xdr:row>41</xdr:row>
      <xdr:rowOff>12171</xdr:rowOff>
    </xdr:to>
    <xdr:sp macro="" textlink="">
      <xdr:nvSpPr>
        <xdr:cNvPr id="21" name="TextBox 20"/>
        <xdr:cNvSpPr txBox="1"/>
      </xdr:nvSpPr>
      <xdr:spPr>
        <a:xfrm>
          <a:off x="7229283" y="7359122"/>
          <a:ext cx="6019992" cy="1073149"/>
        </a:xfrm>
        <a:prstGeom prst="rect">
          <a:avLst/>
        </a:prstGeom>
        <a:solidFill>
          <a:schemeClr val="bg2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 u="sng">
              <a:latin typeface="Arial" panose="020B0604020202020204" pitchFamily="34" charset="0"/>
              <a:cs typeface="Arial" panose="020B0604020202020204" pitchFamily="34" charset="0"/>
            </a:rPr>
            <a:t>Coverage issues?</a:t>
          </a:r>
        </a:p>
        <a:p>
          <a:r>
            <a:rPr lang="en-US" sz="1100" i="1">
              <a:latin typeface="Arial" panose="020B0604020202020204" pitchFamily="34" charset="0"/>
              <a:cs typeface="Arial" panose="020B0604020202020204" pitchFamily="34" charset="0"/>
            </a:rPr>
            <a:t>Please do not hesitate to reach out to our Reimbursement</a:t>
          </a:r>
          <a:r>
            <a:rPr lang="en-US" sz="1100" i="1" baseline="0">
              <a:latin typeface="Arial" panose="020B0604020202020204" pitchFamily="34" charset="0"/>
              <a:cs typeface="Arial" panose="020B0604020202020204" pitchFamily="34" charset="0"/>
            </a:rPr>
            <a:t> Care</a:t>
          </a:r>
          <a:r>
            <a:rPr lang="en-US" sz="1100" i="1">
              <a:latin typeface="Arial" panose="020B0604020202020204" pitchFamily="34" charset="0"/>
              <a:cs typeface="Arial" panose="020B0604020202020204" pitchFamily="34" charset="0"/>
            </a:rPr>
            <a:t> Specialists at: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22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→</a:t>
          </a:r>
          <a:r>
            <a:rPr lang="en-US" sz="2200" b="1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Phone at </a:t>
          </a:r>
          <a:r>
            <a:rPr lang="en-US" sz="1100" b="1" u="none">
              <a:latin typeface="Arial" panose="020B0604020202020204" pitchFamily="34" charset="0"/>
              <a:cs typeface="Arial" panose="020B0604020202020204" pitchFamily="34" charset="0"/>
            </a:rPr>
            <a:t>1.800.605.0410</a:t>
          </a:r>
          <a:r>
            <a:rPr lang="en-US" sz="1100" u="none">
              <a:latin typeface="Arial" panose="020B0604020202020204" pitchFamily="34" charset="0"/>
              <a:cs typeface="Arial" panose="020B0604020202020204" pitchFamily="34" charset="0"/>
            </a:rPr>
            <a:t> available from 8:30 am - 5 pm EST Mon-Fri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2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→</a:t>
          </a:r>
          <a:r>
            <a:rPr lang="en-US" sz="2200" b="1">
              <a:solidFill>
                <a:srgbClr val="FF33CC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Email at </a:t>
          </a:r>
          <a:r>
            <a:rPr lang="en-US" sz="1100" b="1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Coverage@MedicalFood.com</a:t>
          </a:r>
          <a:r>
            <a:rPr lang="en-US" sz="1100" b="1" u="non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428625</xdr:colOff>
      <xdr:row>32</xdr:row>
      <xdr:rowOff>9525</xdr:rowOff>
    </xdr:from>
    <xdr:to>
      <xdr:col>19</xdr:col>
      <xdr:colOff>57150</xdr:colOff>
      <xdr:row>34</xdr:row>
      <xdr:rowOff>187437</xdr:rowOff>
    </xdr:to>
    <xdr:sp macro="" textlink="">
      <xdr:nvSpPr>
        <xdr:cNvPr id="24" name="TextBox 23">
          <a:hlinkClick xmlns:r="http://schemas.openxmlformats.org/officeDocument/2006/relationships" r:id="rId3"/>
        </xdr:cNvPr>
        <xdr:cNvSpPr txBox="1"/>
      </xdr:nvSpPr>
      <xdr:spPr>
        <a:xfrm>
          <a:off x="9772650" y="6143625"/>
          <a:ext cx="1457325" cy="55891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Analog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to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Anamix Early Years </a:t>
          </a:r>
          <a:endParaRPr lang="en-US" sz="1100" b="1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27190</xdr:colOff>
      <xdr:row>29</xdr:row>
      <xdr:rowOff>131315</xdr:rowOff>
    </xdr:from>
    <xdr:to>
      <xdr:col>4</xdr:col>
      <xdr:colOff>203402</xdr:colOff>
      <xdr:row>31</xdr:row>
      <xdr:rowOff>140839</xdr:rowOff>
    </xdr:to>
    <xdr:sp macro="" textlink="">
      <xdr:nvSpPr>
        <xdr:cNvPr id="20" name="TextBox 19">
          <a:hlinkClick xmlns:r="http://schemas.openxmlformats.org/officeDocument/2006/relationships" r:id="rId4"/>
        </xdr:cNvPr>
        <xdr:cNvSpPr txBox="1"/>
      </xdr:nvSpPr>
      <xdr:spPr>
        <a:xfrm>
          <a:off x="842107" y="5698148"/>
          <a:ext cx="1403878" cy="39052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Abbott's Glutarex®-1</a:t>
          </a:r>
          <a:endParaRPr lang="en-US" sz="1050">
            <a:effectLst/>
          </a:endParaRPr>
        </a:p>
      </xdr:txBody>
    </xdr:sp>
    <xdr:clientData/>
  </xdr:twoCellAnchor>
  <xdr:twoCellAnchor>
    <xdr:from>
      <xdr:col>2</xdr:col>
      <xdr:colOff>27191</xdr:colOff>
      <xdr:row>31</xdr:row>
      <xdr:rowOff>149224</xdr:rowOff>
    </xdr:from>
    <xdr:to>
      <xdr:col>4</xdr:col>
      <xdr:colOff>203403</xdr:colOff>
      <xdr:row>34</xdr:row>
      <xdr:rowOff>156027</xdr:rowOff>
    </xdr:to>
    <xdr:sp macro="" textlink="">
      <xdr:nvSpPr>
        <xdr:cNvPr id="22" name="TextBox 21">
          <a:hlinkClick xmlns:r="http://schemas.openxmlformats.org/officeDocument/2006/relationships" r:id="rId5"/>
        </xdr:cNvPr>
        <xdr:cNvSpPr txBox="1"/>
      </xdr:nvSpPr>
      <xdr:spPr>
        <a:xfrm>
          <a:off x="842108" y="6097057"/>
          <a:ext cx="1403878" cy="578303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Mead Johnson's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</a:t>
          </a:r>
          <a:endParaRPr lang="en-US" sz="900">
            <a:effectLst/>
          </a:endParaRPr>
        </a:p>
      </xdr:txBody>
    </xdr:sp>
    <xdr:clientData/>
  </xdr:twoCellAnchor>
  <xdr:twoCellAnchor>
    <xdr:from>
      <xdr:col>6</xdr:col>
      <xdr:colOff>577536</xdr:colOff>
      <xdr:row>32</xdr:row>
      <xdr:rowOff>8899</xdr:rowOff>
    </xdr:from>
    <xdr:to>
      <xdr:col>8</xdr:col>
      <xdr:colOff>450584</xdr:colOff>
      <xdr:row>34</xdr:row>
      <xdr:rowOff>190354</xdr:rowOff>
    </xdr:to>
    <xdr:sp macro="" textlink="">
      <xdr:nvSpPr>
        <xdr:cNvPr id="23" name="TextBox 22">
          <a:hlinkClick xmlns:r="http://schemas.openxmlformats.org/officeDocument/2006/relationships" r:id="rId6"/>
        </xdr:cNvPr>
        <xdr:cNvSpPr txBox="1"/>
      </xdr:nvSpPr>
      <xdr:spPr>
        <a:xfrm>
          <a:off x="3831911" y="6708149"/>
          <a:ext cx="1095423" cy="56245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GlutarAde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Junior DRIs</a:t>
          </a:r>
          <a:endParaRPr lang="en-US" sz="900">
            <a:effectLst/>
          </a:endParaRPr>
        </a:p>
      </xdr:txBody>
    </xdr:sp>
    <xdr:clientData/>
  </xdr:twoCellAnchor>
  <xdr:twoCellAnchor>
    <xdr:from>
      <xdr:col>10</xdr:col>
      <xdr:colOff>206827</xdr:colOff>
      <xdr:row>12</xdr:row>
      <xdr:rowOff>3462</xdr:rowOff>
    </xdr:from>
    <xdr:to>
      <xdr:col>15</xdr:col>
      <xdr:colOff>111578</xdr:colOff>
      <xdr:row>27</xdr:row>
      <xdr:rowOff>180975</xdr:rowOff>
    </xdr:to>
    <xdr:sp macro="" textlink="">
      <xdr:nvSpPr>
        <xdr:cNvPr id="18" name="TextBox 17"/>
        <xdr:cNvSpPr txBox="1"/>
      </xdr:nvSpPr>
      <xdr:spPr>
        <a:xfrm>
          <a:off x="5893252" y="2327562"/>
          <a:ext cx="2952751" cy="3035013"/>
        </a:xfrm>
        <a:prstGeom prst="roundRect">
          <a:avLst>
            <a:gd name="adj" fmla="val 3764"/>
          </a:avLst>
        </a:prstGeom>
        <a:solidFill>
          <a:schemeClr val="accent6">
            <a:lumMod val="60000"/>
            <a:lumOff val="40000"/>
          </a:schemeClr>
        </a:solidFill>
        <a:ln/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900" b="1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b="1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b="1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b="1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n-US" sz="12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</a:t>
          </a:r>
          <a:r>
            <a:rPr lang="en-US" sz="12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Range Comparison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refer to the "Product Range</a:t>
          </a:r>
          <a:r>
            <a:rPr lang="en-US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 </a:t>
          </a:r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tab at the bottom of the page. </a:t>
          </a:r>
        </a:p>
        <a:p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the Yellow Box type in the grams PE your patient</a:t>
          </a:r>
          <a:r>
            <a:rPr lang="en-US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receives from GA-1 product and press the enter key. You will then see a breakdown in macronutrients for each of our products.</a:t>
          </a:r>
        </a:p>
      </xdr:txBody>
    </xdr:sp>
    <xdr:clientData/>
  </xdr:twoCellAnchor>
  <xdr:twoCellAnchor>
    <xdr:from>
      <xdr:col>15</xdr:col>
      <xdr:colOff>595991</xdr:colOff>
      <xdr:row>12</xdr:row>
      <xdr:rowOff>741</xdr:rowOff>
    </xdr:from>
    <xdr:to>
      <xdr:col>20</xdr:col>
      <xdr:colOff>503464</xdr:colOff>
      <xdr:row>28</xdr:row>
      <xdr:rowOff>66675</xdr:rowOff>
    </xdr:to>
    <xdr:sp macro="" textlink="">
      <xdr:nvSpPr>
        <xdr:cNvPr id="25" name="TextBox 24"/>
        <xdr:cNvSpPr txBox="1"/>
      </xdr:nvSpPr>
      <xdr:spPr>
        <a:xfrm>
          <a:off x="9330416" y="2324841"/>
          <a:ext cx="2955473" cy="3113934"/>
        </a:xfrm>
        <a:prstGeom prst="roundRect">
          <a:avLst>
            <a:gd name="adj" fmla="val 3453"/>
          </a:avLst>
        </a:prstGeom>
        <a:solidFill>
          <a:schemeClr val="accent5">
            <a:lumMod val="20000"/>
            <a:lumOff val="80000"/>
          </a:schemeClr>
        </a:solidFill>
        <a:ln/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XLys, XTrp</a:t>
          </a:r>
          <a:r>
            <a:rPr lang="en-US" sz="9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Analog™</a:t>
          </a:r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 GA-1 Anamix</a:t>
          </a:r>
          <a:r>
            <a:rPr lang="en-US" sz="900" b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9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Early Years</a:t>
          </a:r>
          <a:endParaRPr lang="en-US" sz="9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GA-1 Anamix</a:t>
          </a:r>
          <a:r>
            <a:rPr lang="en-US" sz="900" b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Early Years to</a:t>
          </a:r>
          <a:r>
            <a:rPr lang="en-US" sz="9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GlutarAde</a:t>
          </a:r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™</a:t>
          </a:r>
          <a:r>
            <a:rPr lang="en-US" sz="9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Essential GA-1 Drink Mix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b="1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n-US" sz="12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Transition Guide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refer to the "Analog to Anamix EY</a:t>
          </a:r>
          <a:r>
            <a:rPr lang="en-US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 &amp; "Anamix EY to Essential" </a:t>
          </a:r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tab at the bottom of the page. 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the Yellow Box type in the grams PE your patient</a:t>
          </a:r>
          <a:r>
            <a:rPr lang="en-US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requires and press the enter key. You will then see a 10-, 7-, and 4-step transition guide. </a:t>
          </a:r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486915</xdr:colOff>
      <xdr:row>31</xdr:row>
      <xdr:rowOff>188576</xdr:rowOff>
    </xdr:from>
    <xdr:to>
      <xdr:col>15</xdr:col>
      <xdr:colOff>543453</xdr:colOff>
      <xdr:row>34</xdr:row>
      <xdr:rowOff>176854</xdr:rowOff>
    </xdr:to>
    <xdr:sp macro="" textlink="">
      <xdr:nvSpPr>
        <xdr:cNvPr id="26" name="TextBox 25">
          <a:hlinkClick xmlns:r="http://schemas.openxmlformats.org/officeDocument/2006/relationships" r:id="rId7"/>
        </xdr:cNvPr>
        <xdr:cNvSpPr txBox="1"/>
      </xdr:nvSpPr>
      <xdr:spPr>
        <a:xfrm>
          <a:off x="8053998" y="6136409"/>
          <a:ext cx="1284205" cy="559778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Product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Range</a:t>
          </a:r>
          <a:endParaRPr lang="en-US" sz="11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155313</xdr:colOff>
      <xdr:row>26</xdr:row>
      <xdr:rowOff>24002</xdr:rowOff>
    </xdr:from>
    <xdr:to>
      <xdr:col>3</xdr:col>
      <xdr:colOff>474803</xdr:colOff>
      <xdr:row>29</xdr:row>
      <xdr:rowOff>61344</xdr:rowOff>
    </xdr:to>
    <xdr:sp macro="" textlink="">
      <xdr:nvSpPr>
        <xdr:cNvPr id="19" name="TextBox 18"/>
        <xdr:cNvSpPr txBox="1"/>
      </xdr:nvSpPr>
      <xdr:spPr>
        <a:xfrm rot="20992860">
          <a:off x="155313" y="5019335"/>
          <a:ext cx="1748240" cy="608842"/>
        </a:xfrm>
        <a:prstGeom prst="flowChartPunchedTape">
          <a:avLst/>
        </a:prstGeom>
        <a:solidFill>
          <a:srgbClr val="00B0F0"/>
        </a:solidFill>
        <a:ln w="19050" cmpd="sng">
          <a:solidFill>
            <a:schemeClr val="tx1"/>
          </a:solidFill>
        </a:ln>
        <a:effectLst>
          <a:glow rad="101600">
            <a:srgbClr val="FFFF00">
              <a:alpha val="60000"/>
            </a:srgbClr>
          </a:glow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>
              <a:solidFill>
                <a:schemeClr val="dk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Upgrade </a:t>
          </a:r>
          <a:r>
            <a:rPr lang="en-US" sz="1000" b="1" baseline="0">
              <a:solidFill>
                <a:schemeClr val="dk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fr</a:t>
          </a:r>
          <a:r>
            <a:rPr lang="en-US" sz="1000" b="1">
              <a:solidFill>
                <a:schemeClr val="dk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om:</a:t>
          </a:r>
          <a:endParaRPr lang="en-US" sz="1000" b="1">
            <a:solidFill>
              <a:schemeClr val="dk1"/>
            </a:solidFill>
            <a:effectLst/>
            <a:latin typeface="Arial Black" panose="020B0A040201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n-US" sz="9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104775</xdr:colOff>
      <xdr:row>13</xdr:row>
      <xdr:rowOff>133351</xdr:rowOff>
    </xdr:to>
    <xdr:pic>
      <xdr:nvPicPr>
        <xdr:cNvPr id="28" name="Picture 27" descr="R:\Linda\Anamix Early Years Images\GA-1 Anamix Early Years.pn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133600" cy="2647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19</xdr:col>
      <xdr:colOff>162984</xdr:colOff>
      <xdr:row>32</xdr:row>
      <xdr:rowOff>9525</xdr:rowOff>
    </xdr:from>
    <xdr:to>
      <xdr:col>21</xdr:col>
      <xdr:colOff>405342</xdr:colOff>
      <xdr:row>35</xdr:row>
      <xdr:rowOff>3287</xdr:rowOff>
    </xdr:to>
    <xdr:sp macro="" textlink="">
      <xdr:nvSpPr>
        <xdr:cNvPr id="29" name="TextBox 28">
          <a:hlinkClick xmlns:r="http://schemas.openxmlformats.org/officeDocument/2006/relationships" r:id="rId9"/>
        </xdr:cNvPr>
        <xdr:cNvSpPr txBox="1"/>
      </xdr:nvSpPr>
      <xdr:spPr>
        <a:xfrm>
          <a:off x="11335809" y="6143625"/>
          <a:ext cx="1461558" cy="56526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Anamix Early Years to GlutarAde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Essential</a:t>
          </a:r>
          <a:endParaRPr lang="en-US" sz="1100">
            <a:effectLst/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23</xdr:col>
      <xdr:colOff>345280</xdr:colOff>
      <xdr:row>2</xdr:row>
      <xdr:rowOff>52791</xdr:rowOff>
    </xdr:from>
    <xdr:to>
      <xdr:col>25</xdr:col>
      <xdr:colOff>476251</xdr:colOff>
      <xdr:row>11</xdr:row>
      <xdr:rowOff>144757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06499" y="457604"/>
          <a:ext cx="1345408" cy="1830278"/>
        </a:xfrm>
        <a:prstGeom prst="rect">
          <a:avLst/>
        </a:prstGeom>
      </xdr:spPr>
    </xdr:pic>
    <xdr:clientData/>
  </xdr:twoCellAnchor>
  <xdr:twoCellAnchor editAs="oneCell">
    <xdr:from>
      <xdr:col>21</xdr:col>
      <xdr:colOff>238128</xdr:colOff>
      <xdr:row>2</xdr:row>
      <xdr:rowOff>47624</xdr:rowOff>
    </xdr:from>
    <xdr:to>
      <xdr:col>23</xdr:col>
      <xdr:colOff>357188</xdr:colOff>
      <xdr:row>11</xdr:row>
      <xdr:rowOff>141232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584909" y="452437"/>
          <a:ext cx="1333498" cy="1831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9</xdr:col>
      <xdr:colOff>79905</xdr:colOff>
      <xdr:row>2</xdr:row>
      <xdr:rowOff>533400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10300" y="1152525"/>
          <a:ext cx="1299105" cy="533400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5</xdr:col>
      <xdr:colOff>523875</xdr:colOff>
      <xdr:row>0</xdr:row>
      <xdr:rowOff>1</xdr:rowOff>
    </xdr:from>
    <xdr:to>
      <xdr:col>7</xdr:col>
      <xdr:colOff>581025</xdr:colOff>
      <xdr:row>2</xdr:row>
      <xdr:rowOff>85726</xdr:rowOff>
    </xdr:to>
    <xdr:pic>
      <xdr:nvPicPr>
        <xdr:cNvPr id="4" name="Picture 3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"/>
          <a:ext cx="1162050" cy="1238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71752</xdr:rowOff>
    </xdr:from>
    <xdr:to>
      <xdr:col>7</xdr:col>
      <xdr:colOff>133350</xdr:colOff>
      <xdr:row>1</xdr:row>
      <xdr:rowOff>552450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71752"/>
          <a:ext cx="542925" cy="68072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9</xdr:col>
      <xdr:colOff>79904</xdr:colOff>
      <xdr:row>4</xdr:row>
      <xdr:rowOff>11906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5810250" y="771525"/>
          <a:ext cx="1299104" cy="535781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2</xdr:row>
      <xdr:rowOff>28575</xdr:rowOff>
    </xdr:from>
    <xdr:to>
      <xdr:col>13</xdr:col>
      <xdr:colOff>183621</xdr:colOff>
      <xdr:row>4</xdr:row>
      <xdr:rowOff>38100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10077450" y="1371600"/>
          <a:ext cx="1307571" cy="533400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9</xdr:col>
      <xdr:colOff>609600</xdr:colOff>
      <xdr:row>0</xdr:row>
      <xdr:rowOff>113809</xdr:rowOff>
    </xdr:from>
    <xdr:to>
      <xdr:col>11</xdr:col>
      <xdr:colOff>266700</xdr:colOff>
      <xdr:row>1</xdr:row>
      <xdr:rowOff>1121933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3550" y="113809"/>
          <a:ext cx="895350" cy="1208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12</xdr:row>
      <xdr:rowOff>209550</xdr:rowOff>
    </xdr:from>
    <xdr:to>
      <xdr:col>4</xdr:col>
      <xdr:colOff>942975</xdr:colOff>
      <xdr:row>19</xdr:row>
      <xdr:rowOff>172641</xdr:rowOff>
    </xdr:to>
    <xdr:sp macro="" textlink="">
      <xdr:nvSpPr>
        <xdr:cNvPr id="2" name="Rounded Rectangle 1"/>
        <xdr:cNvSpPr/>
      </xdr:nvSpPr>
      <xdr:spPr>
        <a:xfrm>
          <a:off x="2628900" y="4410075"/>
          <a:ext cx="895350" cy="1753791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104775</xdr:colOff>
      <xdr:row>12</xdr:row>
      <xdr:rowOff>219075</xdr:rowOff>
    </xdr:from>
    <xdr:to>
      <xdr:col>8</xdr:col>
      <xdr:colOff>1000125</xdr:colOff>
      <xdr:row>19</xdr:row>
      <xdr:rowOff>171449</xdr:rowOff>
    </xdr:to>
    <xdr:sp macro="" textlink="">
      <xdr:nvSpPr>
        <xdr:cNvPr id="3" name="Rounded Rectangle 2"/>
        <xdr:cNvSpPr/>
      </xdr:nvSpPr>
      <xdr:spPr>
        <a:xfrm>
          <a:off x="5029200" y="4410075"/>
          <a:ext cx="895350" cy="1752599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83128</xdr:colOff>
      <xdr:row>13</xdr:row>
      <xdr:rowOff>8535</xdr:rowOff>
    </xdr:from>
    <xdr:to>
      <xdr:col>6</xdr:col>
      <xdr:colOff>978478</xdr:colOff>
      <xdr:row>19</xdr:row>
      <xdr:rowOff>177263</xdr:rowOff>
    </xdr:to>
    <xdr:sp macro="" textlink="">
      <xdr:nvSpPr>
        <xdr:cNvPr id="4" name="Rounded Rectangle 3"/>
        <xdr:cNvSpPr/>
      </xdr:nvSpPr>
      <xdr:spPr>
        <a:xfrm>
          <a:off x="3835978" y="4418610"/>
          <a:ext cx="895350" cy="1749878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85725</xdr:colOff>
      <xdr:row>12</xdr:row>
      <xdr:rowOff>228600</xdr:rowOff>
    </xdr:from>
    <xdr:to>
      <xdr:col>12</xdr:col>
      <xdr:colOff>981075</xdr:colOff>
      <xdr:row>19</xdr:row>
      <xdr:rowOff>180974</xdr:rowOff>
    </xdr:to>
    <xdr:sp macro="" textlink="">
      <xdr:nvSpPr>
        <xdr:cNvPr id="5" name="Rounded Rectangle 4"/>
        <xdr:cNvSpPr/>
      </xdr:nvSpPr>
      <xdr:spPr>
        <a:xfrm>
          <a:off x="7353300" y="4410075"/>
          <a:ext cx="895350" cy="1762124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100446</xdr:colOff>
      <xdr:row>13</xdr:row>
      <xdr:rowOff>1732</xdr:rowOff>
    </xdr:from>
    <xdr:to>
      <xdr:col>10</xdr:col>
      <xdr:colOff>995796</xdr:colOff>
      <xdr:row>19</xdr:row>
      <xdr:rowOff>172315</xdr:rowOff>
    </xdr:to>
    <xdr:sp macro="" textlink="">
      <xdr:nvSpPr>
        <xdr:cNvPr id="6" name="Rounded Rectangle 5"/>
        <xdr:cNvSpPr/>
      </xdr:nvSpPr>
      <xdr:spPr>
        <a:xfrm>
          <a:off x="6196446" y="4411807"/>
          <a:ext cx="895350" cy="1751733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112568</xdr:colOff>
      <xdr:row>13</xdr:row>
      <xdr:rowOff>0</xdr:rowOff>
    </xdr:from>
    <xdr:to>
      <xdr:col>14</xdr:col>
      <xdr:colOff>1007918</xdr:colOff>
      <xdr:row>19</xdr:row>
      <xdr:rowOff>168728</xdr:rowOff>
    </xdr:to>
    <xdr:sp macro="" textlink="">
      <xdr:nvSpPr>
        <xdr:cNvPr id="7" name="Rounded Rectangle 6"/>
        <xdr:cNvSpPr/>
      </xdr:nvSpPr>
      <xdr:spPr>
        <a:xfrm>
          <a:off x="8551718" y="4410075"/>
          <a:ext cx="895350" cy="1749878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100446</xdr:colOff>
      <xdr:row>12</xdr:row>
      <xdr:rowOff>195696</xdr:rowOff>
    </xdr:from>
    <xdr:to>
      <xdr:col>16</xdr:col>
      <xdr:colOff>995796</xdr:colOff>
      <xdr:row>19</xdr:row>
      <xdr:rowOff>167120</xdr:rowOff>
    </xdr:to>
    <xdr:sp macro="" textlink="">
      <xdr:nvSpPr>
        <xdr:cNvPr id="8" name="Rounded Rectangle 7"/>
        <xdr:cNvSpPr/>
      </xdr:nvSpPr>
      <xdr:spPr>
        <a:xfrm>
          <a:off x="9711171" y="4405746"/>
          <a:ext cx="895350" cy="1752599"/>
        </a:xfrm>
        <a:prstGeom prst="round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257175</xdr:colOff>
      <xdr:row>4</xdr:row>
      <xdr:rowOff>66675</xdr:rowOff>
    </xdr:from>
    <xdr:to>
      <xdr:col>4</xdr:col>
      <xdr:colOff>863010</xdr:colOff>
      <xdr:row>4</xdr:row>
      <xdr:rowOff>860927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0" y="1514475"/>
          <a:ext cx="605835" cy="794252"/>
        </a:xfrm>
        <a:prstGeom prst="rect">
          <a:avLst/>
        </a:prstGeom>
      </xdr:spPr>
    </xdr:pic>
    <xdr:clientData/>
  </xdr:twoCellAnchor>
  <xdr:twoCellAnchor editAs="oneCell">
    <xdr:from>
      <xdr:col>4</xdr:col>
      <xdr:colOff>208491</xdr:colOff>
      <xdr:row>13</xdr:row>
      <xdr:rowOff>96308</xdr:rowOff>
    </xdr:from>
    <xdr:to>
      <xdr:col>4</xdr:col>
      <xdr:colOff>814326</xdr:colOff>
      <xdr:row>15</xdr:row>
      <xdr:rowOff>179360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5016" y="4077758"/>
          <a:ext cx="605835" cy="797427"/>
        </a:xfrm>
        <a:prstGeom prst="rect">
          <a:avLst/>
        </a:prstGeom>
      </xdr:spPr>
    </xdr:pic>
    <xdr:clientData/>
  </xdr:twoCellAnchor>
  <xdr:twoCellAnchor editAs="oneCell">
    <xdr:from>
      <xdr:col>6</xdr:col>
      <xdr:colOff>77259</xdr:colOff>
      <xdr:row>3</xdr:row>
      <xdr:rowOff>542926</xdr:rowOff>
    </xdr:from>
    <xdr:to>
      <xdr:col>6</xdr:col>
      <xdr:colOff>1038418</xdr:colOff>
      <xdr:row>5</xdr:row>
      <xdr:rowOff>85827</xdr:rowOff>
    </xdr:to>
    <xdr:pic>
      <xdr:nvPicPr>
        <xdr:cNvPr id="25" name="Picture 24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592" y="1749426"/>
          <a:ext cx="961159" cy="1184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66675</xdr:colOff>
      <xdr:row>12</xdr:row>
      <xdr:rowOff>76200</xdr:rowOff>
    </xdr:from>
    <xdr:to>
      <xdr:col>6</xdr:col>
      <xdr:colOff>1027834</xdr:colOff>
      <xdr:row>16</xdr:row>
      <xdr:rowOff>97731</xdr:rowOff>
    </xdr:to>
    <xdr:pic>
      <xdr:nvPicPr>
        <xdr:cNvPr id="26" name="Picture 25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857625"/>
          <a:ext cx="961159" cy="1174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4</xdr:row>
      <xdr:rowOff>14110</xdr:rowOff>
    </xdr:from>
    <xdr:to>
      <xdr:col>8</xdr:col>
      <xdr:colOff>876300</xdr:colOff>
      <xdr:row>4</xdr:row>
      <xdr:rowOff>882053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325" y="1461910"/>
          <a:ext cx="628650" cy="867943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13</xdr:row>
      <xdr:rowOff>38100</xdr:rowOff>
    </xdr:from>
    <xdr:to>
      <xdr:col>8</xdr:col>
      <xdr:colOff>905570</xdr:colOff>
      <xdr:row>15</xdr:row>
      <xdr:rowOff>205778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6375" y="4019550"/>
          <a:ext cx="638870" cy="882053"/>
        </a:xfrm>
        <a:prstGeom prst="rect">
          <a:avLst/>
        </a:prstGeom>
      </xdr:spPr>
    </xdr:pic>
    <xdr:clientData/>
  </xdr:twoCellAnchor>
  <xdr:twoCellAnchor editAs="oneCell">
    <xdr:from>
      <xdr:col>10</xdr:col>
      <xdr:colOff>239183</xdr:colOff>
      <xdr:row>4</xdr:row>
      <xdr:rowOff>9525</xdr:rowOff>
    </xdr:from>
    <xdr:to>
      <xdr:col>10</xdr:col>
      <xdr:colOff>889033</xdr:colOff>
      <xdr:row>4</xdr:row>
      <xdr:rowOff>886405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41016" y="1935692"/>
          <a:ext cx="649850" cy="876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13</xdr:row>
      <xdr:rowOff>47625</xdr:rowOff>
    </xdr:from>
    <xdr:to>
      <xdr:col>10</xdr:col>
      <xdr:colOff>887975</xdr:colOff>
      <xdr:row>15</xdr:row>
      <xdr:rowOff>210130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75" y="4029075"/>
          <a:ext cx="649850" cy="87688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4</xdr:row>
      <xdr:rowOff>19050</xdr:rowOff>
    </xdr:from>
    <xdr:to>
      <xdr:col>12</xdr:col>
      <xdr:colOff>825075</xdr:colOff>
      <xdr:row>4</xdr:row>
      <xdr:rowOff>873890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00950" y="1466850"/>
          <a:ext cx="586950" cy="854840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13</xdr:row>
      <xdr:rowOff>66675</xdr:rowOff>
    </xdr:from>
    <xdr:to>
      <xdr:col>12</xdr:col>
      <xdr:colOff>853650</xdr:colOff>
      <xdr:row>15</xdr:row>
      <xdr:rowOff>207140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9525" y="4048125"/>
          <a:ext cx="586950" cy="85484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4</xdr:row>
      <xdr:rowOff>28575</xdr:rowOff>
    </xdr:from>
    <xdr:to>
      <xdr:col>14</xdr:col>
      <xdr:colOff>833679</xdr:colOff>
      <xdr:row>4</xdr:row>
      <xdr:rowOff>854994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01100" y="1476375"/>
          <a:ext cx="566979" cy="826419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13</xdr:row>
      <xdr:rowOff>66675</xdr:rowOff>
    </xdr:from>
    <xdr:to>
      <xdr:col>14</xdr:col>
      <xdr:colOff>852729</xdr:colOff>
      <xdr:row>15</xdr:row>
      <xdr:rowOff>178719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20150" y="4048125"/>
          <a:ext cx="566979" cy="826419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4</xdr:row>
      <xdr:rowOff>9525</xdr:rowOff>
    </xdr:from>
    <xdr:to>
      <xdr:col>16</xdr:col>
      <xdr:colOff>842530</xdr:colOff>
      <xdr:row>4</xdr:row>
      <xdr:rowOff>868553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25050" y="1457325"/>
          <a:ext cx="623455" cy="859028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276225</xdr:colOff>
      <xdr:row>13</xdr:row>
      <xdr:rowOff>47625</xdr:rowOff>
    </xdr:from>
    <xdr:to>
      <xdr:col>16</xdr:col>
      <xdr:colOff>899680</xdr:colOff>
      <xdr:row>15</xdr:row>
      <xdr:rowOff>192278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82200" y="4029075"/>
          <a:ext cx="623455" cy="85902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</xdr:row>
      <xdr:rowOff>0</xdr:rowOff>
    </xdr:from>
    <xdr:to>
      <xdr:col>20</xdr:col>
      <xdr:colOff>66675</xdr:colOff>
      <xdr:row>2</xdr:row>
      <xdr:rowOff>535781</xdr:rowOff>
    </xdr:to>
    <xdr:sp macro="" textlink="">
      <xdr:nvSpPr>
        <xdr:cNvPr id="37" name="TextBox 36">
          <a:hlinkClick xmlns:r="http://schemas.openxmlformats.org/officeDocument/2006/relationships" r:id="rId8"/>
        </xdr:cNvPr>
        <xdr:cNvSpPr txBox="1"/>
      </xdr:nvSpPr>
      <xdr:spPr>
        <a:xfrm>
          <a:off x="11112500" y="444500"/>
          <a:ext cx="1294342" cy="535781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16</xdr:row>
      <xdr:rowOff>149469</xdr:rowOff>
    </xdr:from>
    <xdr:to>
      <xdr:col>9</xdr:col>
      <xdr:colOff>570035</xdr:colOff>
      <xdr:row>21</xdr:row>
      <xdr:rowOff>39565</xdr:rowOff>
    </xdr:to>
    <xdr:cxnSp macro="">
      <xdr:nvCxnSpPr>
        <xdr:cNvPr id="2" name="Curved Connector 1"/>
        <xdr:cNvCxnSpPr/>
      </xdr:nvCxnSpPr>
      <xdr:spPr>
        <a:xfrm flipV="1">
          <a:off x="6777405" y="3997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92D05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209550</xdr:colOff>
      <xdr:row>8</xdr:row>
      <xdr:rowOff>161925</xdr:rowOff>
    </xdr:from>
    <xdr:to>
      <xdr:col>13</xdr:col>
      <xdr:colOff>350044</xdr:colOff>
      <xdr:row>23</xdr:row>
      <xdr:rowOff>24129</xdr:rowOff>
    </xdr:to>
    <xdr:pic>
      <xdr:nvPicPr>
        <xdr:cNvPr id="3" name="Picture 2" descr="R:\Linda\Anamix Early Years Images\GA-1 Anamix Early Years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2457450"/>
          <a:ext cx="2257425" cy="27673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18</xdr:row>
      <xdr:rowOff>94152</xdr:rowOff>
    </xdr:from>
    <xdr:to>
      <xdr:col>8</xdr:col>
      <xdr:colOff>23437</xdr:colOff>
      <xdr:row>26</xdr:row>
      <xdr:rowOff>8872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2600" y="4332777"/>
          <a:ext cx="1109288" cy="145777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15</xdr:col>
      <xdr:colOff>79905</xdr:colOff>
      <xdr:row>4</xdr:row>
      <xdr:rowOff>142875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9882188" y="1143000"/>
          <a:ext cx="1294342" cy="535781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281355</xdr:colOff>
      <xdr:row>16</xdr:row>
      <xdr:rowOff>120894</xdr:rowOff>
    </xdr:from>
    <xdr:to>
      <xdr:col>10</xdr:col>
      <xdr:colOff>169985</xdr:colOff>
      <xdr:row>21</xdr:row>
      <xdr:rowOff>10990</xdr:rowOff>
    </xdr:to>
    <xdr:cxnSp macro="">
      <xdr:nvCxnSpPr>
        <xdr:cNvPr id="2" name="Curved Connector 1"/>
        <xdr:cNvCxnSpPr/>
      </xdr:nvCxnSpPr>
      <xdr:spPr>
        <a:xfrm flipV="1">
          <a:off x="6891705" y="3968994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chemeClr val="accent3">
              <a:lumMod val="75000"/>
            </a:schemeClr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</xdr:row>
      <xdr:rowOff>0</xdr:rowOff>
    </xdr:from>
    <xdr:to>
      <xdr:col>15</xdr:col>
      <xdr:colOff>79905</xdr:colOff>
      <xdr:row>4</xdr:row>
      <xdr:rowOff>142875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9363075" y="1143000"/>
          <a:ext cx="1299105" cy="533400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5</xdr:col>
      <xdr:colOff>295275</xdr:colOff>
      <xdr:row>15</xdr:row>
      <xdr:rowOff>123825</xdr:rowOff>
    </xdr:from>
    <xdr:to>
      <xdr:col>8</xdr:col>
      <xdr:colOff>571500</xdr:colOff>
      <xdr:row>29</xdr:row>
      <xdr:rowOff>43179</xdr:rowOff>
    </xdr:to>
    <xdr:pic>
      <xdr:nvPicPr>
        <xdr:cNvPr id="7" name="Picture 6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771900"/>
          <a:ext cx="2105025" cy="26244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219076</xdr:colOff>
      <xdr:row>10</xdr:row>
      <xdr:rowOff>77716</xdr:rowOff>
    </xdr:from>
    <xdr:to>
      <xdr:col>13</xdr:col>
      <xdr:colOff>371474</xdr:colOff>
      <xdr:row>21</xdr:row>
      <xdr:rowOff>189999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8626" y="2763766"/>
          <a:ext cx="1657349" cy="22363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16</xdr:row>
      <xdr:rowOff>149469</xdr:rowOff>
    </xdr:from>
    <xdr:to>
      <xdr:col>9</xdr:col>
      <xdr:colOff>570035</xdr:colOff>
      <xdr:row>21</xdr:row>
      <xdr:rowOff>39565</xdr:rowOff>
    </xdr:to>
    <xdr:cxnSp macro="">
      <xdr:nvCxnSpPr>
        <xdr:cNvPr id="2" name="Curved Connector 1"/>
        <xdr:cNvCxnSpPr/>
      </xdr:nvCxnSpPr>
      <xdr:spPr>
        <a:xfrm flipV="1">
          <a:off x="6510705" y="3997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92D05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</xdr:row>
      <xdr:rowOff>0</xdr:rowOff>
    </xdr:from>
    <xdr:to>
      <xdr:col>15</xdr:col>
      <xdr:colOff>79905</xdr:colOff>
      <xdr:row>4</xdr:row>
      <xdr:rowOff>142875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9134475" y="1143000"/>
          <a:ext cx="1299105" cy="533400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9</xdr:col>
      <xdr:colOff>276225</xdr:colOff>
      <xdr:row>9</xdr:row>
      <xdr:rowOff>45244</xdr:rowOff>
    </xdr:from>
    <xdr:to>
      <xdr:col>13</xdr:col>
      <xdr:colOff>259556</xdr:colOff>
      <xdr:row>22</xdr:row>
      <xdr:rowOff>176530</xdr:rowOff>
    </xdr:to>
    <xdr:pic>
      <xdr:nvPicPr>
        <xdr:cNvPr id="4" name="Picture 3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1881" y="2545557"/>
          <a:ext cx="2090738" cy="2643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238125</xdr:colOff>
      <xdr:row>18</xdr:row>
      <xdr:rowOff>83345</xdr:rowOff>
    </xdr:from>
    <xdr:to>
      <xdr:col>7</xdr:col>
      <xdr:colOff>569711</xdr:colOff>
      <xdr:row>24</xdr:row>
      <xdr:rowOff>161661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72125" y="4333876"/>
          <a:ext cx="938805" cy="1233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71805</xdr:colOff>
      <xdr:row>16</xdr:row>
      <xdr:rowOff>149469</xdr:rowOff>
    </xdr:from>
    <xdr:to>
      <xdr:col>9</xdr:col>
      <xdr:colOff>570035</xdr:colOff>
      <xdr:row>21</xdr:row>
      <xdr:rowOff>39565</xdr:rowOff>
    </xdr:to>
    <xdr:cxnSp macro="">
      <xdr:nvCxnSpPr>
        <xdr:cNvPr id="2" name="Curved Connector 1"/>
        <xdr:cNvCxnSpPr/>
      </xdr:nvCxnSpPr>
      <xdr:spPr>
        <a:xfrm flipV="1">
          <a:off x="6482130" y="3997569"/>
          <a:ext cx="1107830" cy="852121"/>
        </a:xfrm>
        <a:prstGeom prst="curvedConnector3">
          <a:avLst>
            <a:gd name="adj1" fmla="val 50000"/>
          </a:avLst>
        </a:prstGeom>
        <a:ln w="38100">
          <a:solidFill>
            <a:srgbClr val="92D050"/>
          </a:solidFill>
          <a:tailEnd type="arrow"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</xdr:row>
      <xdr:rowOff>0</xdr:rowOff>
    </xdr:from>
    <xdr:to>
      <xdr:col>15</xdr:col>
      <xdr:colOff>79905</xdr:colOff>
      <xdr:row>4</xdr:row>
      <xdr:rowOff>142875</xdr:rowOff>
    </xdr:to>
    <xdr:sp macro="" textlink="">
      <xdr:nvSpPr>
        <xdr:cNvPr id="8" name="TextBox 7">
          <a:hlinkClick xmlns:r="http://schemas.openxmlformats.org/officeDocument/2006/relationships" r:id="rId1"/>
        </xdr:cNvPr>
        <xdr:cNvSpPr txBox="1"/>
      </xdr:nvSpPr>
      <xdr:spPr>
        <a:xfrm>
          <a:off x="9134475" y="1143000"/>
          <a:ext cx="1299105" cy="533400"/>
        </a:xfrm>
        <a:prstGeom prst="rect">
          <a:avLst/>
        </a:prstGeom>
        <a:solidFill>
          <a:srgbClr val="D0FFA1"/>
        </a:solidFill>
        <a:ln>
          <a:solidFill>
            <a:srgbClr val="92D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Home</a:t>
          </a:r>
          <a:r>
            <a:rPr lang="en-US" sz="1400">
              <a:latin typeface="Arial Rounded MT Bold" panose="020F0704030504030204" pitchFamily="34" charset="0"/>
            </a:rPr>
            <a:t> </a:t>
          </a:r>
          <a:r>
            <a:rPr lang="en-US" sz="2400">
              <a:solidFill>
                <a:sysClr val="windowText" lastClr="000000"/>
              </a:solidFill>
              <a:latin typeface="Webdings" panose="05030102010509060703" pitchFamily="18" charset="2"/>
            </a:rPr>
            <a:t>H</a:t>
          </a:r>
        </a:p>
      </xdr:txBody>
    </xdr:sp>
    <xdr:clientData/>
  </xdr:twoCellAnchor>
  <xdr:twoCellAnchor editAs="oneCell">
    <xdr:from>
      <xdr:col>9</xdr:col>
      <xdr:colOff>345282</xdr:colOff>
      <xdr:row>9</xdr:row>
      <xdr:rowOff>95250</xdr:rowOff>
    </xdr:from>
    <xdr:to>
      <xdr:col>13</xdr:col>
      <xdr:colOff>335756</xdr:colOff>
      <xdr:row>23</xdr:row>
      <xdr:rowOff>14604</xdr:rowOff>
    </xdr:to>
    <xdr:pic>
      <xdr:nvPicPr>
        <xdr:cNvPr id="4" name="Picture 3" descr="R:\Linda\Anamix Early Years Images\GA-1 Anamix Early Year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8" y="2595563"/>
          <a:ext cx="2097881" cy="2633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238125</xdr:colOff>
      <xdr:row>19</xdr:row>
      <xdr:rowOff>35720</xdr:rowOff>
    </xdr:from>
    <xdr:to>
      <xdr:col>7</xdr:col>
      <xdr:colOff>591251</xdr:colOff>
      <xdr:row>24</xdr:row>
      <xdr:rowOff>168850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72125" y="4476751"/>
          <a:ext cx="960345" cy="1097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1:X46"/>
  <sheetViews>
    <sheetView showGridLines="0" showRowColHeaders="0" tabSelected="1" zoomScale="80" zoomScaleNormal="80" workbookViewId="0"/>
  </sheetViews>
  <sheetFormatPr defaultRowHeight="15"/>
  <cols>
    <col min="1" max="1" width="3" customWidth="1"/>
  </cols>
  <sheetData>
    <row r="1" spans="2:24" ht="15.75" thickBot="1"/>
    <row r="2" spans="2:24" ht="15.75" thickTop="1">
      <c r="B2" s="242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7"/>
    </row>
    <row r="3" spans="2:24" ht="15.75" thickBot="1">
      <c r="B3" s="243"/>
      <c r="C3" s="206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8"/>
      <c r="X3" s="249"/>
    </row>
    <row r="4" spans="2:24">
      <c r="B4" s="243"/>
      <c r="C4" s="209"/>
      <c r="D4" s="210"/>
      <c r="E4" s="458" t="s">
        <v>121</v>
      </c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60"/>
      <c r="V4" s="210"/>
      <c r="W4" s="211"/>
      <c r="X4" s="249"/>
    </row>
    <row r="5" spans="2:24">
      <c r="B5" s="243"/>
      <c r="C5" s="209"/>
      <c r="D5" s="210"/>
      <c r="E5" s="461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3"/>
      <c r="V5" s="210"/>
      <c r="W5" s="211"/>
      <c r="X5" s="249"/>
    </row>
    <row r="6" spans="2:24">
      <c r="B6" s="243"/>
      <c r="C6" s="209"/>
      <c r="D6" s="210"/>
      <c r="E6" s="461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3"/>
      <c r="V6" s="210"/>
      <c r="W6" s="211"/>
      <c r="X6" s="249"/>
    </row>
    <row r="7" spans="2:24">
      <c r="B7" s="243"/>
      <c r="C7" s="209"/>
      <c r="D7" s="210"/>
      <c r="E7" s="461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3"/>
      <c r="V7" s="210"/>
      <c r="W7" s="211"/>
      <c r="X7" s="249"/>
    </row>
    <row r="8" spans="2:24">
      <c r="B8" s="243"/>
      <c r="C8" s="209"/>
      <c r="D8" s="210"/>
      <c r="E8" s="461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3"/>
      <c r="V8" s="210"/>
      <c r="W8" s="211"/>
      <c r="X8" s="249"/>
    </row>
    <row r="9" spans="2:24">
      <c r="B9" s="243"/>
      <c r="C9" s="209"/>
      <c r="D9" s="210"/>
      <c r="E9" s="461"/>
      <c r="F9" s="462"/>
      <c r="G9" s="462"/>
      <c r="H9" s="462"/>
      <c r="I9" s="462"/>
      <c r="J9" s="462"/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3"/>
      <c r="V9" s="210"/>
      <c r="W9" s="211"/>
      <c r="X9" s="249"/>
    </row>
    <row r="10" spans="2:24" ht="15.75" thickBot="1">
      <c r="B10" s="243"/>
      <c r="C10" s="209"/>
      <c r="D10" s="210"/>
      <c r="E10" s="464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6"/>
      <c r="V10" s="210"/>
      <c r="W10" s="211"/>
      <c r="X10" s="249"/>
    </row>
    <row r="11" spans="2:24">
      <c r="B11" s="243"/>
      <c r="C11" s="209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1"/>
      <c r="X11" s="249"/>
    </row>
    <row r="12" spans="2:24">
      <c r="B12" s="243"/>
      <c r="C12" s="209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1"/>
      <c r="X12" s="249"/>
    </row>
    <row r="13" spans="2:24">
      <c r="B13" s="243"/>
      <c r="C13" s="212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4"/>
      <c r="X13" s="249"/>
    </row>
    <row r="14" spans="2:24">
      <c r="B14" s="243"/>
      <c r="C14" s="209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1"/>
      <c r="X14" s="249"/>
    </row>
    <row r="15" spans="2:24">
      <c r="B15" s="243"/>
      <c r="C15" s="209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1"/>
      <c r="X15" s="249"/>
    </row>
    <row r="16" spans="2:24">
      <c r="B16" s="243"/>
      <c r="C16" s="209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1"/>
      <c r="X16" s="249"/>
    </row>
    <row r="17" spans="2:24">
      <c r="B17" s="243"/>
      <c r="C17" s="209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1"/>
      <c r="X17" s="249"/>
    </row>
    <row r="18" spans="2:24">
      <c r="B18" s="243"/>
      <c r="C18" s="209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1"/>
      <c r="X18" s="249"/>
    </row>
    <row r="19" spans="2:24">
      <c r="B19" s="243"/>
      <c r="C19" s="209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1"/>
      <c r="X19" s="249"/>
    </row>
    <row r="20" spans="2:24">
      <c r="B20" s="243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1"/>
      <c r="X20" s="249"/>
    </row>
    <row r="21" spans="2:24">
      <c r="B21" s="243"/>
      <c r="C21" s="209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1"/>
      <c r="X21" s="249"/>
    </row>
    <row r="22" spans="2:24">
      <c r="B22" s="243"/>
      <c r="C22" s="209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1"/>
      <c r="X22" s="249"/>
    </row>
    <row r="23" spans="2:24">
      <c r="B23" s="243"/>
      <c r="C23" s="209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1"/>
      <c r="X23" s="249"/>
    </row>
    <row r="24" spans="2:24">
      <c r="B24" s="243"/>
      <c r="C24" s="209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1"/>
      <c r="X24" s="249"/>
    </row>
    <row r="25" spans="2:24">
      <c r="B25" s="243"/>
      <c r="C25" s="209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1"/>
      <c r="X25" s="249"/>
    </row>
    <row r="26" spans="2:24">
      <c r="B26" s="243"/>
      <c r="C26" s="209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1"/>
      <c r="X26" s="249"/>
    </row>
    <row r="27" spans="2:24">
      <c r="B27" s="244"/>
      <c r="C27" s="212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4"/>
      <c r="X27" s="249"/>
    </row>
    <row r="28" spans="2:24">
      <c r="B28" s="243"/>
      <c r="C28" s="209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1"/>
      <c r="X28" s="249"/>
    </row>
    <row r="29" spans="2:24">
      <c r="B29" s="243"/>
      <c r="C29" s="209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1"/>
      <c r="X29" s="249"/>
    </row>
    <row r="30" spans="2:24">
      <c r="B30" s="243"/>
      <c r="C30" s="209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1"/>
      <c r="X30" s="249"/>
    </row>
    <row r="31" spans="2:24">
      <c r="B31" s="243"/>
      <c r="C31" s="209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1"/>
      <c r="X31" s="249"/>
    </row>
    <row r="32" spans="2:24">
      <c r="B32" s="243"/>
      <c r="C32" s="209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1"/>
      <c r="X32" s="249"/>
    </row>
    <row r="33" spans="2:24">
      <c r="B33" s="243"/>
      <c r="C33" s="209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1"/>
      <c r="X33" s="249"/>
    </row>
    <row r="34" spans="2:24">
      <c r="B34" s="243"/>
      <c r="C34" s="20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1"/>
      <c r="X34" s="249"/>
    </row>
    <row r="35" spans="2:24">
      <c r="B35" s="243"/>
      <c r="C35" s="215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7"/>
      <c r="X35" s="249"/>
    </row>
    <row r="36" spans="2:24">
      <c r="B36" s="243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9"/>
    </row>
    <row r="37" spans="2:24">
      <c r="B37" s="243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9"/>
    </row>
    <row r="38" spans="2:24">
      <c r="B38" s="243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9"/>
    </row>
    <row r="39" spans="2:24">
      <c r="B39" s="243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9"/>
    </row>
    <row r="40" spans="2:24">
      <c r="B40" s="243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9"/>
    </row>
    <row r="41" spans="2:24">
      <c r="B41" s="243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9"/>
    </row>
    <row r="42" spans="2:24" ht="15.75" thickBot="1">
      <c r="B42" s="245"/>
      <c r="C42" s="467" t="s">
        <v>80</v>
      </c>
      <c r="D42" s="467"/>
      <c r="E42" s="467"/>
      <c r="F42" s="467"/>
      <c r="G42" s="467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1"/>
    </row>
    <row r="43" spans="2:24" ht="15.75" thickTop="1"/>
    <row r="45" spans="2:24">
      <c r="C45" s="219" t="s">
        <v>87</v>
      </c>
    </row>
    <row r="46" spans="2:24">
      <c r="C46" s="219" t="s">
        <v>88</v>
      </c>
    </row>
  </sheetData>
  <sheetProtection password="C0A5" sheet="1" objects="1" scenarios="1"/>
  <mergeCells count="2">
    <mergeCell ref="E4:U10"/>
    <mergeCell ref="C42:G4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9"/>
  <sheetViews>
    <sheetView showGridLines="0" showRowColHeaders="0" zoomScale="80" zoomScaleNormal="80" workbookViewId="0">
      <selection sqref="A1:F1"/>
    </sheetView>
  </sheetViews>
  <sheetFormatPr defaultRowHeight="15"/>
  <cols>
    <col min="1" max="1" width="25.7109375" customWidth="1"/>
    <col min="2" max="2" width="14.28515625" customWidth="1"/>
    <col min="3" max="6" width="12.28515625" customWidth="1"/>
    <col min="7" max="7" width="4.28515625" customWidth="1"/>
  </cols>
  <sheetData>
    <row r="1" spans="1:6" ht="15.75" thickBot="1">
      <c r="A1" s="470" t="s">
        <v>0</v>
      </c>
      <c r="B1" s="471"/>
      <c r="C1" s="471"/>
      <c r="D1" s="471"/>
      <c r="E1" s="471"/>
      <c r="F1" s="472"/>
    </row>
    <row r="2" spans="1:6" ht="75" customHeight="1" thickBot="1">
      <c r="A2" s="1" t="s">
        <v>1</v>
      </c>
      <c r="B2" s="2"/>
      <c r="C2" s="473" t="s">
        <v>2</v>
      </c>
      <c r="D2" s="474"/>
      <c r="E2" s="474"/>
      <c r="F2" s="475"/>
    </row>
    <row r="3" spans="1:6" ht="45" customHeight="1" thickBot="1">
      <c r="A3" s="476" t="s">
        <v>81</v>
      </c>
      <c r="B3" s="477"/>
      <c r="C3" s="232" t="s">
        <v>3</v>
      </c>
      <c r="D3" s="232" t="s">
        <v>4</v>
      </c>
      <c r="E3" s="252" t="s">
        <v>5</v>
      </c>
      <c r="F3" s="252" t="s">
        <v>6</v>
      </c>
    </row>
    <row r="4" spans="1:6">
      <c r="A4" s="3" t="s">
        <v>7</v>
      </c>
      <c r="B4" s="4">
        <f>B2*100/13.5</f>
        <v>0</v>
      </c>
      <c r="C4" s="5"/>
      <c r="D4" s="6"/>
      <c r="E4" s="5"/>
      <c r="F4" s="7"/>
    </row>
    <row r="5" spans="1:6">
      <c r="A5" s="8" t="s">
        <v>8</v>
      </c>
      <c r="B5" s="9">
        <f>473/100*B4</f>
        <v>0</v>
      </c>
      <c r="C5" s="10"/>
      <c r="D5" s="11"/>
      <c r="E5" s="10"/>
      <c r="F5" s="12"/>
    </row>
    <row r="6" spans="1:6">
      <c r="A6" s="13" t="s">
        <v>9</v>
      </c>
      <c r="B6" s="14">
        <f>13.5/100*B4</f>
        <v>0</v>
      </c>
      <c r="C6" s="15">
        <v>9.1</v>
      </c>
      <c r="D6" s="16">
        <f>B6/C6</f>
        <v>0</v>
      </c>
      <c r="E6" s="17">
        <v>13.5</v>
      </c>
      <c r="F6" s="18">
        <f>B6/E6</f>
        <v>0</v>
      </c>
    </row>
    <row r="7" spans="1:6">
      <c r="A7" s="19" t="s">
        <v>10</v>
      </c>
      <c r="B7" s="9">
        <f>23/100*B4</f>
        <v>0</v>
      </c>
      <c r="C7" s="10">
        <v>31</v>
      </c>
      <c r="D7" s="11">
        <f>B7/C7</f>
        <v>0</v>
      </c>
      <c r="E7" s="10">
        <v>30</v>
      </c>
      <c r="F7" s="20">
        <f>B7/E7</f>
        <v>0</v>
      </c>
    </row>
    <row r="8" spans="1:6">
      <c r="A8" s="21" t="s">
        <v>11</v>
      </c>
      <c r="B8" s="22">
        <f>7.5/100*B4</f>
        <v>0</v>
      </c>
      <c r="C8" s="23"/>
      <c r="D8" s="24"/>
      <c r="E8" s="23"/>
      <c r="F8" s="25"/>
    </row>
    <row r="9" spans="1:6">
      <c r="A9" s="26" t="s">
        <v>12</v>
      </c>
      <c r="B9" s="27">
        <f>9.4/100*B4</f>
        <v>0</v>
      </c>
      <c r="C9" s="28"/>
      <c r="D9" s="29"/>
      <c r="E9" s="28"/>
      <c r="F9" s="30"/>
    </row>
    <row r="10" spans="1:6">
      <c r="A10" s="21" t="s">
        <v>13</v>
      </c>
      <c r="B10" s="22">
        <f>5/100*B4</f>
        <v>0</v>
      </c>
      <c r="C10" s="23"/>
      <c r="D10" s="24"/>
      <c r="E10" s="23"/>
      <c r="F10" s="25"/>
    </row>
    <row r="11" spans="1:6">
      <c r="A11" s="31" t="s">
        <v>14</v>
      </c>
      <c r="B11" s="32">
        <f>70.1/100*B4</f>
        <v>0</v>
      </c>
      <c r="C11" s="33"/>
      <c r="D11" s="34"/>
      <c r="E11" s="33"/>
      <c r="F11" s="35"/>
    </row>
    <row r="12" spans="1:6">
      <c r="A12" s="36" t="s">
        <v>15</v>
      </c>
      <c r="B12" s="37">
        <f>140.2/100*B4</f>
        <v>0</v>
      </c>
      <c r="C12" s="38"/>
      <c r="D12" s="39"/>
      <c r="E12" s="38"/>
      <c r="F12" s="40"/>
    </row>
    <row r="13" spans="1:6" ht="15.75" thickBot="1">
      <c r="A13" s="41" t="s">
        <v>16</v>
      </c>
      <c r="B13" s="42">
        <f>3500/100*B4</f>
        <v>0</v>
      </c>
      <c r="C13" s="43">
        <v>4400</v>
      </c>
      <c r="D13" s="44">
        <f>B13/C13</f>
        <v>0</v>
      </c>
      <c r="E13" s="43">
        <v>4600</v>
      </c>
      <c r="F13" s="45">
        <f>B13/E13</f>
        <v>0</v>
      </c>
    </row>
    <row r="14" spans="1:6">
      <c r="A14" s="46" t="s">
        <v>17</v>
      </c>
      <c r="B14" s="47">
        <f>53/100*B4</f>
        <v>0</v>
      </c>
      <c r="C14" s="48">
        <v>60</v>
      </c>
      <c r="D14" s="49">
        <f>B14/C14</f>
        <v>0</v>
      </c>
      <c r="E14" s="48">
        <v>95</v>
      </c>
      <c r="F14" s="50">
        <f>B14/E14</f>
        <v>0</v>
      </c>
    </row>
    <row r="15" spans="1:6" ht="15.75" thickBot="1">
      <c r="A15" s="51" t="s">
        <v>18</v>
      </c>
      <c r="B15" s="52">
        <f>5.3/100*B4</f>
        <v>0</v>
      </c>
      <c r="C15" s="53"/>
      <c r="D15" s="54"/>
      <c r="E15" s="53"/>
      <c r="F15" s="55"/>
    </row>
    <row r="16" spans="1:6" ht="26.25" customHeight="1" thickBot="1">
      <c r="A16" s="478" t="s">
        <v>19</v>
      </c>
      <c r="B16" s="479"/>
      <c r="C16" s="232" t="s">
        <v>3</v>
      </c>
      <c r="D16" s="232" t="s">
        <v>4</v>
      </c>
      <c r="E16" s="252" t="s">
        <v>5</v>
      </c>
      <c r="F16" s="252" t="s">
        <v>6</v>
      </c>
    </row>
    <row r="17" spans="1:6">
      <c r="A17" s="56" t="s">
        <v>20</v>
      </c>
      <c r="B17" s="4">
        <f>392/100*B4</f>
        <v>0</v>
      </c>
      <c r="C17" s="5">
        <v>400</v>
      </c>
      <c r="D17" s="6">
        <f t="shared" ref="D17:D43" si="0">B17/C17</f>
        <v>0</v>
      </c>
      <c r="E17" s="5">
        <v>500</v>
      </c>
      <c r="F17" s="57">
        <f t="shared" ref="F17:F30" si="1">B17/E17</f>
        <v>0</v>
      </c>
    </row>
    <row r="18" spans="1:6">
      <c r="A18" s="19" t="s">
        <v>21</v>
      </c>
      <c r="B18" s="9">
        <f>8.7/100*B4</f>
        <v>0</v>
      </c>
      <c r="C18" s="10">
        <v>10</v>
      </c>
      <c r="D18" s="11">
        <f t="shared" si="0"/>
        <v>0</v>
      </c>
      <c r="E18" s="10">
        <v>10</v>
      </c>
      <c r="F18" s="20">
        <f t="shared" si="1"/>
        <v>0</v>
      </c>
    </row>
    <row r="19" spans="1:6">
      <c r="A19" s="407" t="s">
        <v>126</v>
      </c>
      <c r="B19" s="22">
        <f>7.3/100*B4</f>
        <v>0</v>
      </c>
      <c r="C19" s="23">
        <v>4</v>
      </c>
      <c r="D19" s="24">
        <f t="shared" si="0"/>
        <v>0</v>
      </c>
      <c r="E19" s="23">
        <v>6</v>
      </c>
      <c r="F19" s="25">
        <f t="shared" si="1"/>
        <v>0</v>
      </c>
    </row>
    <row r="20" spans="1:6">
      <c r="A20" s="19" t="s">
        <v>22</v>
      </c>
      <c r="B20" s="9">
        <f>38/100*B4</f>
        <v>0</v>
      </c>
      <c r="C20" s="10">
        <v>2</v>
      </c>
      <c r="D20" s="11">
        <f t="shared" si="0"/>
        <v>0</v>
      </c>
      <c r="E20" s="10">
        <v>2.5</v>
      </c>
      <c r="F20" s="20">
        <f t="shared" si="1"/>
        <v>0</v>
      </c>
    </row>
    <row r="21" spans="1:6">
      <c r="A21" s="21" t="s">
        <v>23</v>
      </c>
      <c r="B21" s="58">
        <f>0.64/100*B4</f>
        <v>0</v>
      </c>
      <c r="C21" s="23">
        <v>0.2</v>
      </c>
      <c r="D21" s="24">
        <f t="shared" si="0"/>
        <v>0</v>
      </c>
      <c r="E21" s="23">
        <v>0.3</v>
      </c>
      <c r="F21" s="25">
        <f t="shared" si="1"/>
        <v>0</v>
      </c>
    </row>
    <row r="22" spans="1:6">
      <c r="A22" s="19" t="s">
        <v>24</v>
      </c>
      <c r="B22" s="59">
        <f>0.5/100*B4</f>
        <v>0</v>
      </c>
      <c r="C22" s="10">
        <v>0.3</v>
      </c>
      <c r="D22" s="11">
        <f t="shared" si="0"/>
        <v>0</v>
      </c>
      <c r="E22" s="10">
        <v>0.4</v>
      </c>
      <c r="F22" s="20">
        <f t="shared" si="1"/>
        <v>0</v>
      </c>
    </row>
    <row r="23" spans="1:6">
      <c r="A23" s="21" t="s">
        <v>25</v>
      </c>
      <c r="B23" s="58">
        <f>0.5/100*B4</f>
        <v>0</v>
      </c>
      <c r="C23" s="23">
        <v>0.1</v>
      </c>
      <c r="D23" s="24">
        <f t="shared" si="0"/>
        <v>0</v>
      </c>
      <c r="E23" s="23">
        <v>0.3</v>
      </c>
      <c r="F23" s="25">
        <f t="shared" si="1"/>
        <v>0</v>
      </c>
    </row>
    <row r="24" spans="1:6">
      <c r="A24" s="19" t="s">
        <v>26</v>
      </c>
      <c r="B24" s="59">
        <f>1.2/100*B4</f>
        <v>0</v>
      </c>
      <c r="C24" s="10">
        <v>0.4</v>
      </c>
      <c r="D24" s="11">
        <f t="shared" si="0"/>
        <v>0</v>
      </c>
      <c r="E24" s="10">
        <v>0.5</v>
      </c>
      <c r="F24" s="20">
        <f t="shared" si="1"/>
        <v>0</v>
      </c>
    </row>
    <row r="25" spans="1:6">
      <c r="A25" s="407" t="s">
        <v>128</v>
      </c>
      <c r="B25" s="58">
        <f>2.2/100*B4</f>
        <v>0</v>
      </c>
      <c r="C25" s="23">
        <v>2</v>
      </c>
      <c r="D25" s="24">
        <f t="shared" si="0"/>
        <v>0</v>
      </c>
      <c r="E25" s="23">
        <v>4</v>
      </c>
      <c r="F25" s="25">
        <f t="shared" si="1"/>
        <v>0</v>
      </c>
    </row>
    <row r="26" spans="1:6">
      <c r="A26" s="19" t="s">
        <v>27</v>
      </c>
      <c r="B26" s="9">
        <f>55/100*B4</f>
        <v>0</v>
      </c>
      <c r="C26" s="10">
        <v>65</v>
      </c>
      <c r="D26" s="11">
        <f t="shared" si="0"/>
        <v>0</v>
      </c>
      <c r="E26" s="10">
        <v>80</v>
      </c>
      <c r="F26" s="20">
        <f t="shared" si="1"/>
        <v>0</v>
      </c>
    </row>
    <row r="27" spans="1:6">
      <c r="A27" s="21" t="s">
        <v>28</v>
      </c>
      <c r="B27" s="58">
        <f>2.8/100*B4</f>
        <v>0</v>
      </c>
      <c r="C27" s="23">
        <v>1.7</v>
      </c>
      <c r="D27" s="24">
        <f t="shared" si="0"/>
        <v>0</v>
      </c>
      <c r="E27" s="23">
        <v>1.8</v>
      </c>
      <c r="F27" s="25">
        <f t="shared" si="1"/>
        <v>0</v>
      </c>
    </row>
    <row r="28" spans="1:6">
      <c r="A28" s="19" t="s">
        <v>29</v>
      </c>
      <c r="B28" s="9">
        <f>18.2/100*B4</f>
        <v>0</v>
      </c>
      <c r="C28" s="10">
        <v>5</v>
      </c>
      <c r="D28" s="11">
        <f t="shared" si="0"/>
        <v>0</v>
      </c>
      <c r="E28" s="10">
        <v>6</v>
      </c>
      <c r="F28" s="20">
        <f t="shared" si="1"/>
        <v>0</v>
      </c>
    </row>
    <row r="29" spans="1:6">
      <c r="A29" s="21" t="s">
        <v>30</v>
      </c>
      <c r="B29" s="22">
        <f>49/100*B4</f>
        <v>0</v>
      </c>
      <c r="C29" s="23">
        <v>40</v>
      </c>
      <c r="D29" s="24">
        <f t="shared" si="0"/>
        <v>0</v>
      </c>
      <c r="E29" s="23">
        <v>50</v>
      </c>
      <c r="F29" s="25">
        <f t="shared" si="1"/>
        <v>0</v>
      </c>
    </row>
    <row r="30" spans="1:6">
      <c r="A30" s="19" t="s">
        <v>31</v>
      </c>
      <c r="B30" s="9">
        <f>91/100*B4</f>
        <v>0</v>
      </c>
      <c r="C30" s="10">
        <v>125</v>
      </c>
      <c r="D30" s="11">
        <f t="shared" si="0"/>
        <v>0</v>
      </c>
      <c r="E30" s="10">
        <v>150</v>
      </c>
      <c r="F30" s="20">
        <f t="shared" si="1"/>
        <v>0</v>
      </c>
    </row>
    <row r="31" spans="1:6" ht="15.75" thickBot="1">
      <c r="A31" s="60" t="s">
        <v>32</v>
      </c>
      <c r="B31" s="61">
        <f>98/100*B4</f>
        <v>0</v>
      </c>
      <c r="C31" s="62" t="s">
        <v>33</v>
      </c>
      <c r="D31" s="63"/>
      <c r="E31" s="62" t="s">
        <v>33</v>
      </c>
      <c r="F31" s="64"/>
    </row>
    <row r="32" spans="1:6" ht="26.25" customHeight="1" thickBot="1">
      <c r="A32" s="480" t="s">
        <v>34</v>
      </c>
      <c r="B32" s="481"/>
      <c r="C32" s="232" t="s">
        <v>3</v>
      </c>
      <c r="D32" s="232" t="s">
        <v>4</v>
      </c>
      <c r="E32" s="252" t="s">
        <v>5</v>
      </c>
      <c r="F32" s="252" t="s">
        <v>6</v>
      </c>
    </row>
    <row r="33" spans="1:6">
      <c r="A33" s="56" t="s">
        <v>35</v>
      </c>
      <c r="B33" s="65">
        <f>371/100*B4</f>
        <v>0</v>
      </c>
      <c r="C33" s="66">
        <v>200</v>
      </c>
      <c r="D33" s="67">
        <f t="shared" si="0"/>
        <v>0</v>
      </c>
      <c r="E33" s="66">
        <v>260</v>
      </c>
      <c r="F33" s="68">
        <f t="shared" ref="F33:F43" si="2">B33/E33</f>
        <v>0</v>
      </c>
    </row>
    <row r="34" spans="1:6">
      <c r="A34" s="19" t="s">
        <v>36</v>
      </c>
      <c r="B34" s="27">
        <f>270/100*B4</f>
        <v>0</v>
      </c>
      <c r="C34" s="28">
        <v>100</v>
      </c>
      <c r="D34" s="29">
        <f t="shared" si="0"/>
        <v>0</v>
      </c>
      <c r="E34" s="28">
        <v>275</v>
      </c>
      <c r="F34" s="30">
        <f t="shared" si="2"/>
        <v>0</v>
      </c>
    </row>
    <row r="35" spans="1:6">
      <c r="A35" s="21" t="s">
        <v>37</v>
      </c>
      <c r="B35" s="69">
        <f>52.5/100*B4</f>
        <v>0</v>
      </c>
      <c r="C35" s="70">
        <v>30</v>
      </c>
      <c r="D35" s="71">
        <f t="shared" si="0"/>
        <v>0</v>
      </c>
      <c r="E35" s="70">
        <v>75</v>
      </c>
      <c r="F35" s="72">
        <f t="shared" si="2"/>
        <v>0</v>
      </c>
    </row>
    <row r="36" spans="1:6">
      <c r="A36" s="19" t="s">
        <v>38</v>
      </c>
      <c r="B36" s="27">
        <f>7.3/100*B4</f>
        <v>0</v>
      </c>
      <c r="C36" s="28">
        <v>0.27</v>
      </c>
      <c r="D36" s="29">
        <f t="shared" si="0"/>
        <v>0</v>
      </c>
      <c r="E36" s="73">
        <v>11</v>
      </c>
      <c r="F36" s="74">
        <f t="shared" si="2"/>
        <v>0</v>
      </c>
    </row>
    <row r="37" spans="1:6">
      <c r="A37" s="21" t="s">
        <v>39</v>
      </c>
      <c r="B37" s="69">
        <f>5.2/100*B4</f>
        <v>0</v>
      </c>
      <c r="C37" s="70">
        <v>2</v>
      </c>
      <c r="D37" s="71">
        <f t="shared" si="0"/>
        <v>0</v>
      </c>
      <c r="E37" s="75">
        <v>3</v>
      </c>
      <c r="F37" s="76">
        <f t="shared" si="2"/>
        <v>0</v>
      </c>
    </row>
    <row r="38" spans="1:6">
      <c r="A38" s="19" t="s">
        <v>40</v>
      </c>
      <c r="B38" s="77">
        <f>0.39/100*B4</f>
        <v>0</v>
      </c>
      <c r="C38" s="28">
        <v>3.0000000000000001E-3</v>
      </c>
      <c r="D38" s="29">
        <f t="shared" si="0"/>
        <v>0</v>
      </c>
      <c r="E38" s="28">
        <v>0.6</v>
      </c>
      <c r="F38" s="30">
        <f t="shared" si="2"/>
        <v>0</v>
      </c>
    </row>
    <row r="39" spans="1:6">
      <c r="A39" s="21" t="s">
        <v>41</v>
      </c>
      <c r="B39" s="69">
        <f>390/100*B4</f>
        <v>0</v>
      </c>
      <c r="C39" s="70">
        <v>200</v>
      </c>
      <c r="D39" s="71">
        <f t="shared" si="0"/>
        <v>0</v>
      </c>
      <c r="E39" s="70">
        <v>220</v>
      </c>
      <c r="F39" s="72">
        <f t="shared" si="2"/>
        <v>0</v>
      </c>
    </row>
    <row r="40" spans="1:6">
      <c r="A40" s="19" t="s">
        <v>42</v>
      </c>
      <c r="B40" s="27">
        <f>82.5/100*B4</f>
        <v>0</v>
      </c>
      <c r="C40" s="28">
        <v>110</v>
      </c>
      <c r="D40" s="29">
        <f t="shared" si="0"/>
        <v>0</v>
      </c>
      <c r="E40" s="28">
        <v>130</v>
      </c>
      <c r="F40" s="30">
        <f t="shared" si="2"/>
        <v>0</v>
      </c>
    </row>
    <row r="41" spans="1:6">
      <c r="A41" s="21" t="s">
        <v>43</v>
      </c>
      <c r="B41" s="69">
        <f>10.9/100*B4</f>
        <v>0</v>
      </c>
      <c r="C41" s="70">
        <v>2</v>
      </c>
      <c r="D41" s="71">
        <f t="shared" si="0"/>
        <v>0</v>
      </c>
      <c r="E41" s="70">
        <v>3</v>
      </c>
      <c r="F41" s="72">
        <f t="shared" si="2"/>
        <v>0</v>
      </c>
    </row>
    <row r="42" spans="1:6">
      <c r="A42" s="19" t="s">
        <v>44</v>
      </c>
      <c r="B42" s="27">
        <f>12.5/100*B4</f>
        <v>0</v>
      </c>
      <c r="C42" s="28">
        <v>0.2</v>
      </c>
      <c r="D42" s="29">
        <f t="shared" si="0"/>
        <v>0</v>
      </c>
      <c r="E42" s="28">
        <v>5.5</v>
      </c>
      <c r="F42" s="30">
        <f t="shared" si="2"/>
        <v>0</v>
      </c>
    </row>
    <row r="43" spans="1:6">
      <c r="A43" s="21" t="s">
        <v>45</v>
      </c>
      <c r="B43" s="69">
        <f>14.1/100*B4</f>
        <v>0</v>
      </c>
      <c r="C43" s="70">
        <v>15</v>
      </c>
      <c r="D43" s="71">
        <f t="shared" si="0"/>
        <v>0</v>
      </c>
      <c r="E43" s="70">
        <v>20</v>
      </c>
      <c r="F43" s="72">
        <f t="shared" si="2"/>
        <v>0</v>
      </c>
    </row>
    <row r="44" spans="1:6">
      <c r="A44" s="19" t="s">
        <v>46</v>
      </c>
      <c r="B44" s="27">
        <f>171/100*B4</f>
        <v>0</v>
      </c>
      <c r="C44" s="78">
        <v>120</v>
      </c>
      <c r="D44" s="29">
        <f>B44/C44</f>
        <v>0</v>
      </c>
      <c r="E44" s="78">
        <v>370</v>
      </c>
      <c r="F44" s="30">
        <f>B44/E44</f>
        <v>0</v>
      </c>
    </row>
    <row r="45" spans="1:6">
      <c r="A45" s="21" t="s">
        <v>47</v>
      </c>
      <c r="B45" s="69">
        <f>454/100*B4</f>
        <v>0</v>
      </c>
      <c r="C45" s="79">
        <v>400</v>
      </c>
      <c r="D45" s="71">
        <f>B45/C45</f>
        <v>0</v>
      </c>
      <c r="E45" s="79">
        <v>700</v>
      </c>
      <c r="F45" s="72">
        <f>B45/E45</f>
        <v>0</v>
      </c>
    </row>
    <row r="46" spans="1:6" ht="15.75" thickBot="1">
      <c r="A46" s="80" t="s">
        <v>48</v>
      </c>
      <c r="B46" s="410">
        <f>321/100*B4</f>
        <v>0</v>
      </c>
      <c r="C46" s="81">
        <v>180</v>
      </c>
      <c r="D46" s="82">
        <f>B46/C46</f>
        <v>0</v>
      </c>
      <c r="E46" s="81">
        <v>570</v>
      </c>
      <c r="F46" s="83">
        <f>B46/E46</f>
        <v>0</v>
      </c>
    </row>
    <row r="47" spans="1:6">
      <c r="A47" s="84"/>
      <c r="B47" s="85"/>
      <c r="C47" s="84"/>
      <c r="D47" s="84"/>
      <c r="E47" s="84"/>
      <c r="F47" s="84"/>
    </row>
    <row r="48" spans="1:6">
      <c r="A48" s="84"/>
      <c r="B48" s="85"/>
      <c r="C48" s="84"/>
      <c r="D48" s="84"/>
      <c r="E48" s="84"/>
      <c r="F48" s="84"/>
    </row>
    <row r="49" spans="1:6">
      <c r="A49" s="468" t="s">
        <v>49</v>
      </c>
      <c r="B49" s="469"/>
      <c r="C49" s="469"/>
      <c r="D49" s="469"/>
      <c r="E49" s="469"/>
      <c r="F49" s="469"/>
    </row>
  </sheetData>
  <sheetProtection password="C0A5" sheet="1" objects="1" scenarios="1"/>
  <mergeCells count="6">
    <mergeCell ref="A49:F49"/>
    <mergeCell ref="A1:F1"/>
    <mergeCell ref="C2:F2"/>
    <mergeCell ref="A3:B3"/>
    <mergeCell ref="A16:B16"/>
    <mergeCell ref="A32:B3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43"/>
  <sheetViews>
    <sheetView showGridLines="0" showRowColHeaders="0" zoomScale="80" zoomScaleNormal="80" workbookViewId="0">
      <selection sqref="A1:F1"/>
    </sheetView>
  </sheetViews>
  <sheetFormatPr defaultRowHeight="15"/>
  <cols>
    <col min="1" max="1" width="25.7109375" style="408" customWidth="1"/>
    <col min="2" max="2" width="14.28515625" style="408" customWidth="1"/>
    <col min="3" max="6" width="10.7109375" style="408" customWidth="1"/>
    <col min="7" max="7" width="4.28515625" style="408" customWidth="1"/>
    <col min="8" max="16384" width="9.140625" style="408"/>
  </cols>
  <sheetData>
    <row r="1" spans="1:6" ht="15.75" thickBot="1">
      <c r="A1" s="482" t="s">
        <v>0</v>
      </c>
      <c r="B1" s="483"/>
      <c r="C1" s="483"/>
      <c r="D1" s="483"/>
      <c r="E1" s="483"/>
      <c r="F1" s="484"/>
    </row>
    <row r="2" spans="1:6" ht="45" thickBot="1">
      <c r="A2" s="231" t="s">
        <v>1</v>
      </c>
      <c r="B2" s="2"/>
      <c r="C2" s="485" t="s">
        <v>2</v>
      </c>
      <c r="D2" s="486"/>
      <c r="E2" s="486"/>
      <c r="F2" s="487"/>
    </row>
    <row r="3" spans="1:6" ht="26.25" thickBot="1">
      <c r="A3" s="488" t="s">
        <v>86</v>
      </c>
      <c r="B3" s="489"/>
      <c r="C3" s="87" t="s">
        <v>50</v>
      </c>
      <c r="D3" s="88" t="s">
        <v>51</v>
      </c>
      <c r="E3" s="89" t="s">
        <v>52</v>
      </c>
      <c r="F3" s="90" t="s">
        <v>53</v>
      </c>
    </row>
    <row r="4" spans="1:6">
      <c r="A4" s="95" t="s">
        <v>7</v>
      </c>
      <c r="B4" s="411">
        <f>B2*100/10</f>
        <v>0</v>
      </c>
      <c r="C4" s="97"/>
      <c r="D4" s="412"/>
      <c r="E4" s="97"/>
      <c r="F4" s="413"/>
    </row>
    <row r="5" spans="1:6">
      <c r="A5" s="103" t="s">
        <v>58</v>
      </c>
      <c r="B5" s="414">
        <f>410/10*B2</f>
        <v>0</v>
      </c>
      <c r="C5" s="105"/>
      <c r="D5" s="415"/>
      <c r="E5" s="105"/>
      <c r="F5" s="416"/>
    </row>
    <row r="6" spans="1:6">
      <c r="A6" s="111" t="s">
        <v>9</v>
      </c>
      <c r="B6" s="417">
        <f>B2</f>
        <v>0</v>
      </c>
      <c r="C6" s="113">
        <v>13</v>
      </c>
      <c r="D6" s="114">
        <f>B6/C6</f>
        <v>0</v>
      </c>
      <c r="E6" s="113">
        <v>19</v>
      </c>
      <c r="F6" s="253">
        <f>B6/E6</f>
        <v>0</v>
      </c>
    </row>
    <row r="7" spans="1:6">
      <c r="A7" s="103" t="s">
        <v>10</v>
      </c>
      <c r="B7" s="418">
        <f>10/10*B2</f>
        <v>0</v>
      </c>
      <c r="C7" s="156"/>
      <c r="D7" s="419"/>
      <c r="E7" s="156"/>
      <c r="F7" s="420"/>
    </row>
    <row r="8" spans="1:6">
      <c r="A8" s="421" t="s">
        <v>129</v>
      </c>
      <c r="B8" s="422">
        <f>2/10*B2</f>
        <v>0</v>
      </c>
      <c r="C8" s="423"/>
      <c r="D8" s="424"/>
      <c r="E8" s="423"/>
      <c r="F8" s="425"/>
    </row>
    <row r="9" spans="1:6">
      <c r="A9" s="421" t="s">
        <v>130</v>
      </c>
      <c r="B9" s="426">
        <f>5.3/10*B2</f>
        <v>0</v>
      </c>
      <c r="C9" s="423"/>
      <c r="D9" s="424"/>
      <c r="E9" s="423"/>
      <c r="F9" s="425"/>
    </row>
    <row r="10" spans="1:6">
      <c r="A10" s="421" t="s">
        <v>131</v>
      </c>
      <c r="B10" s="422">
        <f>2.6/10*B2</f>
        <v>0</v>
      </c>
      <c r="C10" s="423"/>
      <c r="D10" s="424"/>
      <c r="E10" s="423"/>
      <c r="F10" s="425"/>
    </row>
    <row r="11" spans="1:6">
      <c r="A11" s="124" t="s">
        <v>17</v>
      </c>
      <c r="B11" s="427">
        <f>69/10*B2</f>
        <v>0</v>
      </c>
      <c r="C11" s="125">
        <v>130</v>
      </c>
      <c r="D11" s="126">
        <f>B11/C11</f>
        <v>0</v>
      </c>
      <c r="E11" s="127">
        <v>130</v>
      </c>
      <c r="F11" s="254">
        <f>B11/E11</f>
        <v>0</v>
      </c>
    </row>
    <row r="12" spans="1:6" ht="15.75" thickBot="1">
      <c r="A12" s="132" t="s">
        <v>82</v>
      </c>
      <c r="B12" s="428">
        <f>0/10*B2</f>
        <v>0</v>
      </c>
      <c r="C12" s="133"/>
      <c r="D12" s="134"/>
      <c r="E12" s="133"/>
      <c r="F12" s="255"/>
    </row>
    <row r="13" spans="1:6" ht="26.25" thickBot="1">
      <c r="A13" s="490" t="s">
        <v>19</v>
      </c>
      <c r="B13" s="491"/>
      <c r="C13" s="87" t="s">
        <v>50</v>
      </c>
      <c r="D13" s="88" t="s">
        <v>51</v>
      </c>
      <c r="E13" s="89" t="s">
        <v>52</v>
      </c>
      <c r="F13" s="90" t="s">
        <v>53</v>
      </c>
    </row>
    <row r="14" spans="1:6">
      <c r="A14" s="95" t="s">
        <v>20</v>
      </c>
      <c r="B14" s="429">
        <f>412/10*B2</f>
        <v>0</v>
      </c>
      <c r="C14" s="136">
        <v>300</v>
      </c>
      <c r="D14" s="137">
        <f t="shared" ref="D14:D40" si="0">B14/C14</f>
        <v>0</v>
      </c>
      <c r="E14" s="136">
        <v>400</v>
      </c>
      <c r="F14" s="256">
        <f t="shared" ref="F14:F27" si="1">B14/E14</f>
        <v>0</v>
      </c>
    </row>
    <row r="15" spans="1:6">
      <c r="A15" s="103" t="s">
        <v>21</v>
      </c>
      <c r="B15" s="430">
        <f>13.1/10*B2</f>
        <v>0</v>
      </c>
      <c r="C15" s="105">
        <v>15</v>
      </c>
      <c r="D15" s="431">
        <f t="shared" si="0"/>
        <v>0</v>
      </c>
      <c r="E15" s="105">
        <v>15</v>
      </c>
      <c r="F15" s="416">
        <f t="shared" si="1"/>
        <v>0</v>
      </c>
    </row>
    <row r="16" spans="1:6">
      <c r="A16" s="111" t="s">
        <v>126</v>
      </c>
      <c r="B16" s="417">
        <f>5.7/10*B2</f>
        <v>0</v>
      </c>
      <c r="C16" s="113">
        <v>6</v>
      </c>
      <c r="D16" s="114">
        <f t="shared" si="0"/>
        <v>0</v>
      </c>
      <c r="E16" s="113">
        <v>7</v>
      </c>
      <c r="F16" s="253">
        <f t="shared" si="1"/>
        <v>0</v>
      </c>
    </row>
    <row r="17" spans="1:12">
      <c r="A17" s="103" t="s">
        <v>22</v>
      </c>
      <c r="B17" s="430">
        <f>34/10*B2</f>
        <v>0</v>
      </c>
      <c r="C17" s="105">
        <v>30</v>
      </c>
      <c r="D17" s="431">
        <f t="shared" si="0"/>
        <v>0</v>
      </c>
      <c r="E17" s="105">
        <v>55</v>
      </c>
      <c r="F17" s="416">
        <f t="shared" si="1"/>
        <v>0</v>
      </c>
    </row>
    <row r="18" spans="1:12">
      <c r="A18" s="111" t="s">
        <v>23</v>
      </c>
      <c r="B18" s="432">
        <f>0.83/10*B2</f>
        <v>0</v>
      </c>
      <c r="C18" s="113">
        <v>0.5</v>
      </c>
      <c r="D18" s="114">
        <f t="shared" si="0"/>
        <v>0</v>
      </c>
      <c r="E18" s="113">
        <v>0.6</v>
      </c>
      <c r="F18" s="253">
        <f t="shared" si="1"/>
        <v>0</v>
      </c>
    </row>
    <row r="19" spans="1:12">
      <c r="A19" s="103" t="s">
        <v>24</v>
      </c>
      <c r="B19" s="433">
        <f>0.69/10*B2</f>
        <v>0</v>
      </c>
      <c r="C19" s="146">
        <v>0.5</v>
      </c>
      <c r="D19" s="147">
        <f t="shared" si="0"/>
        <v>0</v>
      </c>
      <c r="E19" s="146">
        <v>0.6</v>
      </c>
      <c r="F19" s="257">
        <f t="shared" si="1"/>
        <v>0</v>
      </c>
    </row>
    <row r="20" spans="1:12">
      <c r="A20" s="111" t="s">
        <v>25</v>
      </c>
      <c r="B20" s="432">
        <f>0.66/10*B2</f>
        <v>0</v>
      </c>
      <c r="C20" s="113">
        <v>0.5</v>
      </c>
      <c r="D20" s="114">
        <f t="shared" si="0"/>
        <v>0</v>
      </c>
      <c r="E20" s="113">
        <v>0.6</v>
      </c>
      <c r="F20" s="253">
        <f t="shared" si="1"/>
        <v>0</v>
      </c>
    </row>
    <row r="21" spans="1:12">
      <c r="A21" s="103" t="s">
        <v>26</v>
      </c>
      <c r="B21" s="433">
        <f>1.4/10*B2</f>
        <v>0</v>
      </c>
      <c r="C21" s="146">
        <v>0.9</v>
      </c>
      <c r="D21" s="147">
        <f t="shared" si="0"/>
        <v>0</v>
      </c>
      <c r="E21" s="146">
        <v>1.2</v>
      </c>
      <c r="F21" s="257">
        <f t="shared" si="1"/>
        <v>0</v>
      </c>
    </row>
    <row r="22" spans="1:12">
      <c r="A22" s="111" t="s">
        <v>127</v>
      </c>
      <c r="B22" s="417">
        <f>6.6/10*B2</f>
        <v>0</v>
      </c>
      <c r="C22" s="113">
        <v>6</v>
      </c>
      <c r="D22" s="114">
        <f t="shared" si="0"/>
        <v>0</v>
      </c>
      <c r="E22" s="113">
        <v>8</v>
      </c>
      <c r="F22" s="253">
        <f t="shared" si="1"/>
        <v>0</v>
      </c>
    </row>
    <row r="23" spans="1:12">
      <c r="A23" s="103" t="s">
        <v>27</v>
      </c>
      <c r="B23" s="430">
        <f>150/10*B2</f>
        <v>0</v>
      </c>
      <c r="C23" s="146">
        <v>150</v>
      </c>
      <c r="D23" s="147">
        <f t="shared" si="0"/>
        <v>0</v>
      </c>
      <c r="E23" s="146">
        <v>200</v>
      </c>
      <c r="F23" s="257">
        <f t="shared" si="1"/>
        <v>0</v>
      </c>
    </row>
    <row r="24" spans="1:12">
      <c r="A24" s="111" t="s">
        <v>28</v>
      </c>
      <c r="B24" s="417">
        <f>6/10*B2</f>
        <v>0</v>
      </c>
      <c r="C24" s="153">
        <v>2</v>
      </c>
      <c r="D24" s="434">
        <f t="shared" si="0"/>
        <v>0</v>
      </c>
      <c r="E24" s="153">
        <v>3</v>
      </c>
      <c r="F24" s="435">
        <f t="shared" si="1"/>
        <v>0</v>
      </c>
    </row>
    <row r="25" spans="1:12">
      <c r="A25" s="103" t="s">
        <v>29</v>
      </c>
      <c r="B25" s="430">
        <f>31/10*B2</f>
        <v>0</v>
      </c>
      <c r="C25" s="105">
        <v>8</v>
      </c>
      <c r="D25" s="431">
        <f t="shared" si="0"/>
        <v>0</v>
      </c>
      <c r="E25" s="105">
        <v>12</v>
      </c>
      <c r="F25" s="416">
        <f t="shared" si="1"/>
        <v>0</v>
      </c>
    </row>
    <row r="26" spans="1:12">
      <c r="A26" s="111" t="s">
        <v>30</v>
      </c>
      <c r="B26" s="417">
        <f>56/10*B2</f>
        <v>0</v>
      </c>
      <c r="C26" s="113">
        <v>15</v>
      </c>
      <c r="D26" s="114">
        <f t="shared" si="0"/>
        <v>0</v>
      </c>
      <c r="E26" s="113">
        <v>25</v>
      </c>
      <c r="F26" s="253">
        <f t="shared" si="1"/>
        <v>0</v>
      </c>
      <c r="L26" s="408" t="s">
        <v>76</v>
      </c>
    </row>
    <row r="27" spans="1:12">
      <c r="A27" s="103" t="s">
        <v>31</v>
      </c>
      <c r="B27" s="430">
        <f>213/10*B2</f>
        <v>0</v>
      </c>
      <c r="C27" s="156">
        <v>200</v>
      </c>
      <c r="D27" s="419">
        <f t="shared" si="0"/>
        <v>0</v>
      </c>
      <c r="E27" s="156">
        <v>250</v>
      </c>
      <c r="F27" s="436">
        <f t="shared" si="1"/>
        <v>0</v>
      </c>
    </row>
    <row r="28" spans="1:12" ht="15.75" thickBot="1">
      <c r="A28" s="159" t="s">
        <v>32</v>
      </c>
      <c r="B28" s="437">
        <f>125/10*B2</f>
        <v>0</v>
      </c>
      <c r="C28" s="161" t="s">
        <v>33</v>
      </c>
      <c r="D28" s="438"/>
      <c r="E28" s="161" t="s">
        <v>33</v>
      </c>
      <c r="F28" s="439"/>
    </row>
    <row r="29" spans="1:12" ht="26.25" thickBot="1">
      <c r="A29" s="490" t="s">
        <v>59</v>
      </c>
      <c r="B29" s="492"/>
      <c r="C29" s="164" t="s">
        <v>50</v>
      </c>
      <c r="D29" s="165" t="s">
        <v>51</v>
      </c>
      <c r="E29" s="166" t="s">
        <v>52</v>
      </c>
      <c r="F29" s="167" t="s">
        <v>53</v>
      </c>
    </row>
    <row r="30" spans="1:12">
      <c r="A30" s="95" t="s">
        <v>35</v>
      </c>
      <c r="B30" s="429">
        <f>460/10*B2</f>
        <v>0</v>
      </c>
      <c r="C30" s="97">
        <v>700</v>
      </c>
      <c r="D30" s="440">
        <f t="shared" si="0"/>
        <v>0</v>
      </c>
      <c r="E30" s="97">
        <v>1000</v>
      </c>
      <c r="F30" s="413">
        <f t="shared" ref="F30:F40" si="2">B30/E30</f>
        <v>0</v>
      </c>
    </row>
    <row r="31" spans="1:12">
      <c r="A31" s="103" t="s">
        <v>36</v>
      </c>
      <c r="B31" s="414">
        <f>400/10*B2</f>
        <v>0</v>
      </c>
      <c r="C31" s="146">
        <v>460</v>
      </c>
      <c r="D31" s="147">
        <f t="shared" si="0"/>
        <v>0</v>
      </c>
      <c r="E31" s="146">
        <v>500</v>
      </c>
      <c r="F31" s="257">
        <f t="shared" si="2"/>
        <v>0</v>
      </c>
    </row>
    <row r="32" spans="1:12">
      <c r="A32" s="111" t="s">
        <v>37</v>
      </c>
      <c r="B32" s="417">
        <f>60/10*B2</f>
        <v>0</v>
      </c>
      <c r="C32" s="113">
        <v>80</v>
      </c>
      <c r="D32" s="114">
        <f t="shared" si="0"/>
        <v>0</v>
      </c>
      <c r="E32" s="113">
        <v>130</v>
      </c>
      <c r="F32" s="253">
        <f t="shared" si="2"/>
        <v>0</v>
      </c>
    </row>
    <row r="33" spans="1:6">
      <c r="A33" s="103" t="s">
        <v>38</v>
      </c>
      <c r="B33" s="430">
        <f>8/10*B2</f>
        <v>0</v>
      </c>
      <c r="C33" s="146">
        <v>7</v>
      </c>
      <c r="D33" s="147">
        <f t="shared" si="0"/>
        <v>0</v>
      </c>
      <c r="E33" s="146">
        <v>10</v>
      </c>
      <c r="F33" s="257">
        <f t="shared" si="2"/>
        <v>0</v>
      </c>
    </row>
    <row r="34" spans="1:6">
      <c r="A34" s="111" t="s">
        <v>39</v>
      </c>
      <c r="B34" s="417">
        <f>7/10*B2</f>
        <v>0</v>
      </c>
      <c r="C34" s="113">
        <v>3</v>
      </c>
      <c r="D34" s="114">
        <f t="shared" si="0"/>
        <v>0</v>
      </c>
      <c r="E34" s="113">
        <v>5</v>
      </c>
      <c r="F34" s="253">
        <f t="shared" si="2"/>
        <v>0</v>
      </c>
    </row>
    <row r="35" spans="1:6">
      <c r="A35" s="103" t="s">
        <v>40</v>
      </c>
      <c r="B35" s="433">
        <f>0.43/10*B2</f>
        <v>0</v>
      </c>
      <c r="C35" s="105">
        <v>1.2</v>
      </c>
      <c r="D35" s="431">
        <f t="shared" si="0"/>
        <v>0</v>
      </c>
      <c r="E35" s="105">
        <v>1.5</v>
      </c>
      <c r="F35" s="416">
        <f t="shared" si="2"/>
        <v>0</v>
      </c>
    </row>
    <row r="36" spans="1:6">
      <c r="A36" s="111" t="s">
        <v>41</v>
      </c>
      <c r="B36" s="441">
        <f>500/10*B2</f>
        <v>0</v>
      </c>
      <c r="C36" s="113">
        <v>340</v>
      </c>
      <c r="D36" s="114">
        <f t="shared" si="0"/>
        <v>0</v>
      </c>
      <c r="E36" s="113">
        <v>440</v>
      </c>
      <c r="F36" s="253">
        <f t="shared" si="2"/>
        <v>0</v>
      </c>
    </row>
    <row r="37" spans="1:6">
      <c r="A37" s="103" t="s">
        <v>42</v>
      </c>
      <c r="B37" s="430">
        <f>90/10*B2</f>
        <v>0</v>
      </c>
      <c r="C37" s="146">
        <v>90</v>
      </c>
      <c r="D37" s="147">
        <f t="shared" si="0"/>
        <v>0</v>
      </c>
      <c r="E37" s="146">
        <v>90</v>
      </c>
      <c r="F37" s="257">
        <f t="shared" si="2"/>
        <v>0</v>
      </c>
    </row>
    <row r="38" spans="1:6">
      <c r="A38" s="111" t="s">
        <v>43</v>
      </c>
      <c r="B38" s="417">
        <f>18/10*B2</f>
        <v>0</v>
      </c>
      <c r="C38" s="113">
        <v>17</v>
      </c>
      <c r="D38" s="114">
        <f t="shared" si="0"/>
        <v>0</v>
      </c>
      <c r="E38" s="113">
        <v>22</v>
      </c>
      <c r="F38" s="253">
        <f t="shared" si="2"/>
        <v>0</v>
      </c>
    </row>
    <row r="39" spans="1:6">
      <c r="A39" s="103" t="s">
        <v>44</v>
      </c>
      <c r="B39" s="430">
        <f>12/10*B2</f>
        <v>0</v>
      </c>
      <c r="C39" s="105">
        <v>11</v>
      </c>
      <c r="D39" s="431">
        <f t="shared" si="0"/>
        <v>0</v>
      </c>
      <c r="E39" s="105">
        <v>15</v>
      </c>
      <c r="F39" s="416">
        <f t="shared" si="2"/>
        <v>0</v>
      </c>
    </row>
    <row r="40" spans="1:6">
      <c r="A40" s="111" t="s">
        <v>45</v>
      </c>
      <c r="B40" s="417">
        <f>40/10*B2</f>
        <v>0</v>
      </c>
      <c r="C40" s="169">
        <v>20</v>
      </c>
      <c r="D40" s="170">
        <f t="shared" si="0"/>
        <v>0</v>
      </c>
      <c r="E40" s="169">
        <v>30</v>
      </c>
      <c r="F40" s="258">
        <f t="shared" si="2"/>
        <v>0</v>
      </c>
    </row>
    <row r="41" spans="1:6">
      <c r="A41" s="103" t="s">
        <v>46</v>
      </c>
      <c r="B41" s="430">
        <f>221/10*B2</f>
        <v>0</v>
      </c>
      <c r="C41" s="172">
        <v>1000</v>
      </c>
      <c r="D41" s="442">
        <f>B41/C41</f>
        <v>0</v>
      </c>
      <c r="E41" s="172">
        <v>1200</v>
      </c>
      <c r="F41" s="443">
        <f>B41/E41</f>
        <v>0</v>
      </c>
    </row>
    <row r="42" spans="1:6">
      <c r="A42" s="159" t="s">
        <v>47</v>
      </c>
      <c r="B42" s="444">
        <f>589/10*B2</f>
        <v>0</v>
      </c>
      <c r="C42" s="176">
        <v>3000</v>
      </c>
      <c r="D42" s="438">
        <f>B42/C42</f>
        <v>0</v>
      </c>
      <c r="E42" s="176">
        <v>3800</v>
      </c>
      <c r="F42" s="439">
        <f>B42/E42</f>
        <v>0</v>
      </c>
    </row>
    <row r="43" spans="1:6" ht="15.75" thickBot="1">
      <c r="A43" s="177" t="s">
        <v>48</v>
      </c>
      <c r="B43" s="445">
        <f>332/10*B2</f>
        <v>0</v>
      </c>
      <c r="C43" s="179">
        <v>1500</v>
      </c>
      <c r="D43" s="446">
        <f>B43/C43</f>
        <v>0</v>
      </c>
      <c r="E43" s="179">
        <v>1900</v>
      </c>
      <c r="F43" s="447">
        <f>B43/E43</f>
        <v>0</v>
      </c>
    </row>
  </sheetData>
  <sheetProtection password="C0A5" sheet="1" objects="1" scenarios="1"/>
  <mergeCells count="5">
    <mergeCell ref="A1:F1"/>
    <mergeCell ref="C2:F2"/>
    <mergeCell ref="A3:B3"/>
    <mergeCell ref="A13:B13"/>
    <mergeCell ref="A29:B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43"/>
  <sheetViews>
    <sheetView showGridLines="0" showRowColHeaders="0" zoomScale="80" zoomScaleNormal="80" workbookViewId="0">
      <selection sqref="A1:J1"/>
    </sheetView>
  </sheetViews>
  <sheetFormatPr defaultRowHeight="15"/>
  <cols>
    <col min="1" max="1" width="25.42578125" customWidth="1"/>
    <col min="2" max="2" width="17.140625" customWidth="1"/>
    <col min="3" max="6" width="11.42578125" customWidth="1"/>
    <col min="7" max="10" width="14.28515625" customWidth="1"/>
    <col min="11" max="11" width="4.28515625" customWidth="1"/>
  </cols>
  <sheetData>
    <row r="1" spans="1:10" ht="15.75" thickBot="1">
      <c r="A1" s="482" t="s">
        <v>0</v>
      </c>
      <c r="B1" s="483"/>
      <c r="C1" s="483"/>
      <c r="D1" s="483"/>
      <c r="E1" s="483"/>
      <c r="F1" s="483"/>
      <c r="G1" s="483"/>
      <c r="H1" s="483"/>
      <c r="I1" s="483"/>
      <c r="J1" s="484"/>
    </row>
    <row r="2" spans="1:10" ht="90" customHeight="1" thickBot="1">
      <c r="A2" s="231" t="s">
        <v>1</v>
      </c>
      <c r="B2" s="86"/>
      <c r="C2" s="493" t="s">
        <v>2</v>
      </c>
      <c r="D2" s="494"/>
      <c r="E2" s="494"/>
      <c r="F2" s="494"/>
      <c r="G2" s="494"/>
      <c r="H2" s="494"/>
      <c r="I2" s="494"/>
      <c r="J2" s="494"/>
    </row>
    <row r="3" spans="1:10" ht="26.25" thickBot="1">
      <c r="A3" s="495" t="s">
        <v>85</v>
      </c>
      <c r="B3" s="496"/>
      <c r="C3" s="164" t="s">
        <v>50</v>
      </c>
      <c r="D3" s="165" t="s">
        <v>51</v>
      </c>
      <c r="E3" s="166" t="s">
        <v>52</v>
      </c>
      <c r="F3" s="167" t="s">
        <v>53</v>
      </c>
      <c r="G3" s="91" t="s">
        <v>54</v>
      </c>
      <c r="H3" s="92" t="s">
        <v>55</v>
      </c>
      <c r="I3" s="93" t="s">
        <v>56</v>
      </c>
      <c r="J3" s="94" t="s">
        <v>57</v>
      </c>
    </row>
    <row r="4" spans="1:10">
      <c r="A4" s="95" t="s">
        <v>7</v>
      </c>
      <c r="B4" s="96">
        <f>B2*100/25</f>
        <v>0</v>
      </c>
      <c r="C4" s="97"/>
      <c r="D4" s="98"/>
      <c r="E4" s="97"/>
      <c r="F4" s="99"/>
      <c r="G4" s="100"/>
      <c r="H4" s="101"/>
      <c r="I4" s="100"/>
      <c r="J4" s="102"/>
    </row>
    <row r="5" spans="1:10">
      <c r="A5" s="103" t="s">
        <v>58</v>
      </c>
      <c r="B5" s="104">
        <f>385/25*B2</f>
        <v>0</v>
      </c>
      <c r="C5" s="105"/>
      <c r="D5" s="106"/>
      <c r="E5" s="105"/>
      <c r="F5" s="107"/>
      <c r="G5" s="108"/>
      <c r="H5" s="109"/>
      <c r="I5" s="108"/>
      <c r="J5" s="110"/>
    </row>
    <row r="6" spans="1:10">
      <c r="A6" s="111" t="s">
        <v>9</v>
      </c>
      <c r="B6" s="112">
        <f>B2</f>
        <v>0</v>
      </c>
      <c r="C6" s="113">
        <v>13</v>
      </c>
      <c r="D6" s="114">
        <f>B6/C6</f>
        <v>0</v>
      </c>
      <c r="E6" s="113">
        <v>19</v>
      </c>
      <c r="F6" s="115">
        <f>B6/E6</f>
        <v>0</v>
      </c>
      <c r="G6" s="116">
        <v>34</v>
      </c>
      <c r="H6" s="117">
        <f>B6/G6</f>
        <v>0</v>
      </c>
      <c r="I6" s="116">
        <v>34</v>
      </c>
      <c r="J6" s="118">
        <f>B6/I6</f>
        <v>0</v>
      </c>
    </row>
    <row r="7" spans="1:10">
      <c r="A7" s="103" t="s">
        <v>10</v>
      </c>
      <c r="B7" s="452">
        <f>13/25*B2</f>
        <v>0</v>
      </c>
      <c r="C7" s="156"/>
      <c r="D7" s="157"/>
      <c r="E7" s="156"/>
      <c r="F7" s="157"/>
      <c r="G7" s="120"/>
      <c r="H7" s="121"/>
      <c r="I7" s="122"/>
      <c r="J7" s="123"/>
    </row>
    <row r="8" spans="1:10" s="408" customFormat="1">
      <c r="A8" s="421" t="s">
        <v>129</v>
      </c>
      <c r="B8" s="456">
        <f>2.3/25*B2</f>
        <v>0</v>
      </c>
      <c r="C8" s="423"/>
      <c r="D8" s="454"/>
      <c r="E8" s="423"/>
      <c r="F8" s="454"/>
      <c r="G8" s="448"/>
      <c r="H8" s="449"/>
      <c r="I8" s="450"/>
      <c r="J8" s="451"/>
    </row>
    <row r="9" spans="1:10" s="408" customFormat="1">
      <c r="A9" s="421" t="s">
        <v>130</v>
      </c>
      <c r="B9" s="456">
        <f>7.6/25*B2</f>
        <v>0</v>
      </c>
      <c r="C9" s="423"/>
      <c r="D9" s="454"/>
      <c r="E9" s="423"/>
      <c r="F9" s="454"/>
      <c r="G9" s="448"/>
      <c r="H9" s="449"/>
      <c r="I9" s="450"/>
      <c r="J9" s="451"/>
    </row>
    <row r="10" spans="1:10" s="408" customFormat="1">
      <c r="A10" s="421" t="s">
        <v>131</v>
      </c>
      <c r="B10" s="456">
        <f>2.9/25*B2</f>
        <v>0</v>
      </c>
      <c r="C10" s="423"/>
      <c r="D10" s="454"/>
      <c r="E10" s="423"/>
      <c r="F10" s="454"/>
      <c r="G10" s="448"/>
      <c r="H10" s="449"/>
      <c r="I10" s="450"/>
      <c r="J10" s="451"/>
    </row>
    <row r="11" spans="1:10">
      <c r="A11" s="124" t="s">
        <v>17</v>
      </c>
      <c r="B11" s="453">
        <f>45/25*B2</f>
        <v>0</v>
      </c>
      <c r="C11" s="125">
        <v>130</v>
      </c>
      <c r="D11" s="126">
        <f>B11/C11</f>
        <v>0</v>
      </c>
      <c r="E11" s="127">
        <v>130</v>
      </c>
      <c r="F11" s="128">
        <f>B11/E11</f>
        <v>0</v>
      </c>
      <c r="G11" s="129">
        <v>130</v>
      </c>
      <c r="H11" s="130">
        <f>B11/G11</f>
        <v>0</v>
      </c>
      <c r="I11" s="129">
        <v>130</v>
      </c>
      <c r="J11" s="131">
        <f>B11/I11</f>
        <v>0</v>
      </c>
    </row>
    <row r="12" spans="1:10" ht="15.75" thickBot="1">
      <c r="A12" s="233" t="s">
        <v>82</v>
      </c>
      <c r="B12" s="455">
        <f>3.9/25*B2</f>
        <v>0</v>
      </c>
      <c r="C12" s="234"/>
      <c r="D12" s="235"/>
      <c r="E12" s="234"/>
      <c r="F12" s="235"/>
      <c r="G12" s="129"/>
      <c r="H12" s="130"/>
      <c r="I12" s="129"/>
      <c r="J12" s="131"/>
    </row>
    <row r="13" spans="1:10" ht="26.25" thickBot="1">
      <c r="A13" s="497" t="s">
        <v>19</v>
      </c>
      <c r="B13" s="498"/>
      <c r="C13" s="164" t="s">
        <v>50</v>
      </c>
      <c r="D13" s="165" t="s">
        <v>51</v>
      </c>
      <c r="E13" s="166" t="s">
        <v>52</v>
      </c>
      <c r="F13" s="167" t="s">
        <v>53</v>
      </c>
      <c r="G13" s="91" t="s">
        <v>54</v>
      </c>
      <c r="H13" s="92" t="s">
        <v>55</v>
      </c>
      <c r="I13" s="93" t="s">
        <v>56</v>
      </c>
      <c r="J13" s="94" t="s">
        <v>57</v>
      </c>
    </row>
    <row r="14" spans="1:10">
      <c r="A14" s="95" t="s">
        <v>20</v>
      </c>
      <c r="B14" s="135">
        <f>637/25*B2</f>
        <v>0</v>
      </c>
      <c r="C14" s="136">
        <v>300</v>
      </c>
      <c r="D14" s="137">
        <f t="shared" ref="D14:D40" si="0">B14/C14</f>
        <v>0</v>
      </c>
      <c r="E14" s="136">
        <v>400</v>
      </c>
      <c r="F14" s="138">
        <f t="shared" ref="F14:F27" si="1">B14/E14</f>
        <v>0</v>
      </c>
      <c r="G14" s="139">
        <v>600</v>
      </c>
      <c r="H14" s="140">
        <f>B14/G14</f>
        <v>0</v>
      </c>
      <c r="I14" s="139">
        <v>600</v>
      </c>
      <c r="J14" s="141">
        <f>B14/I14</f>
        <v>0</v>
      </c>
    </row>
    <row r="15" spans="1:10">
      <c r="A15" s="103" t="s">
        <v>21</v>
      </c>
      <c r="B15" s="104">
        <f>15/25*B2</f>
        <v>0</v>
      </c>
      <c r="C15" s="105">
        <v>15</v>
      </c>
      <c r="D15" s="119">
        <f t="shared" si="0"/>
        <v>0</v>
      </c>
      <c r="E15" s="105">
        <v>15</v>
      </c>
      <c r="F15" s="107">
        <f t="shared" si="1"/>
        <v>0</v>
      </c>
      <c r="G15" s="224">
        <v>15</v>
      </c>
      <c r="H15" s="222">
        <f t="shared" ref="H15:H27" si="2">B15/G15</f>
        <v>0</v>
      </c>
      <c r="I15" s="224">
        <v>15</v>
      </c>
      <c r="J15" s="223">
        <f t="shared" ref="J15:J27" si="3">B15/I15</f>
        <v>0</v>
      </c>
    </row>
    <row r="16" spans="1:10">
      <c r="A16" s="111" t="s">
        <v>126</v>
      </c>
      <c r="B16" s="112">
        <f>12.8/25*B2</f>
        <v>0</v>
      </c>
      <c r="C16" s="113">
        <v>6</v>
      </c>
      <c r="D16" s="114">
        <f t="shared" si="0"/>
        <v>0</v>
      </c>
      <c r="E16" s="113">
        <v>7</v>
      </c>
      <c r="F16" s="115">
        <f t="shared" si="1"/>
        <v>0</v>
      </c>
      <c r="G16" s="142">
        <v>11</v>
      </c>
      <c r="H16" s="117">
        <f t="shared" si="2"/>
        <v>0</v>
      </c>
      <c r="I16" s="142">
        <v>11</v>
      </c>
      <c r="J16" s="118">
        <f t="shared" si="3"/>
        <v>0</v>
      </c>
    </row>
    <row r="17" spans="1:10">
      <c r="A17" s="103" t="s">
        <v>22</v>
      </c>
      <c r="B17" s="104">
        <f>70/25*B2</f>
        <v>0</v>
      </c>
      <c r="C17" s="105">
        <v>30</v>
      </c>
      <c r="D17" s="119">
        <f t="shared" si="0"/>
        <v>0</v>
      </c>
      <c r="E17" s="105">
        <v>55</v>
      </c>
      <c r="F17" s="107">
        <f t="shared" si="1"/>
        <v>0</v>
      </c>
      <c r="G17" s="224">
        <v>60</v>
      </c>
      <c r="H17" s="222">
        <f t="shared" si="2"/>
        <v>0</v>
      </c>
      <c r="I17" s="224">
        <v>60</v>
      </c>
      <c r="J17" s="223">
        <f t="shared" si="3"/>
        <v>0</v>
      </c>
    </row>
    <row r="18" spans="1:10">
      <c r="A18" s="111" t="s">
        <v>23</v>
      </c>
      <c r="B18" s="143">
        <f>1.5/25*B2</f>
        <v>0</v>
      </c>
      <c r="C18" s="113">
        <v>0.5</v>
      </c>
      <c r="D18" s="114">
        <f t="shared" si="0"/>
        <v>0</v>
      </c>
      <c r="E18" s="113">
        <v>0.6</v>
      </c>
      <c r="F18" s="115">
        <f t="shared" si="1"/>
        <v>0</v>
      </c>
      <c r="G18" s="144">
        <v>0.9</v>
      </c>
      <c r="H18" s="117">
        <f t="shared" si="2"/>
        <v>0</v>
      </c>
      <c r="I18" s="144">
        <v>0.9</v>
      </c>
      <c r="J18" s="118">
        <f t="shared" si="3"/>
        <v>0</v>
      </c>
    </row>
    <row r="19" spans="1:10">
      <c r="A19" s="103" t="s">
        <v>24</v>
      </c>
      <c r="B19" s="145">
        <f>1.5/25*B2</f>
        <v>0</v>
      </c>
      <c r="C19" s="146">
        <v>0.5</v>
      </c>
      <c r="D19" s="147">
        <f t="shared" si="0"/>
        <v>0</v>
      </c>
      <c r="E19" s="146">
        <v>0.6</v>
      </c>
      <c r="F19" s="148">
        <f t="shared" si="1"/>
        <v>0</v>
      </c>
      <c r="G19" s="149">
        <v>0.9</v>
      </c>
      <c r="H19" s="150">
        <f t="shared" si="2"/>
        <v>0</v>
      </c>
      <c r="I19" s="149">
        <v>0.9</v>
      </c>
      <c r="J19" s="151">
        <f t="shared" si="3"/>
        <v>0</v>
      </c>
    </row>
    <row r="20" spans="1:10">
      <c r="A20" s="111" t="s">
        <v>25</v>
      </c>
      <c r="B20" s="143">
        <f>1.4/25*B2</f>
        <v>0</v>
      </c>
      <c r="C20" s="113">
        <v>0.5</v>
      </c>
      <c r="D20" s="114">
        <f t="shared" si="0"/>
        <v>0</v>
      </c>
      <c r="E20" s="113">
        <v>0.6</v>
      </c>
      <c r="F20" s="115">
        <f t="shared" si="1"/>
        <v>0</v>
      </c>
      <c r="G20" s="144">
        <v>1</v>
      </c>
      <c r="H20" s="117">
        <f t="shared" si="2"/>
        <v>0</v>
      </c>
      <c r="I20" s="144">
        <v>1</v>
      </c>
      <c r="J20" s="118">
        <f t="shared" si="3"/>
        <v>0</v>
      </c>
    </row>
    <row r="21" spans="1:10">
      <c r="A21" s="103" t="s">
        <v>26</v>
      </c>
      <c r="B21" s="145">
        <f>3/25*B2</f>
        <v>0</v>
      </c>
      <c r="C21" s="146">
        <v>0.9</v>
      </c>
      <c r="D21" s="147">
        <f t="shared" si="0"/>
        <v>0</v>
      </c>
      <c r="E21" s="146">
        <v>1.2</v>
      </c>
      <c r="F21" s="148">
        <f t="shared" si="1"/>
        <v>0</v>
      </c>
      <c r="G21" s="149">
        <v>1.8</v>
      </c>
      <c r="H21" s="150">
        <f t="shared" si="2"/>
        <v>0</v>
      </c>
      <c r="I21" s="149">
        <v>1.8</v>
      </c>
      <c r="J21" s="151">
        <f t="shared" si="3"/>
        <v>0</v>
      </c>
    </row>
    <row r="22" spans="1:10">
      <c r="A22" s="111" t="s">
        <v>127</v>
      </c>
      <c r="B22" s="112">
        <f>15.5/25*B2</f>
        <v>0</v>
      </c>
      <c r="C22" s="113">
        <v>6</v>
      </c>
      <c r="D22" s="114">
        <f t="shared" si="0"/>
        <v>0</v>
      </c>
      <c r="E22" s="113">
        <v>8</v>
      </c>
      <c r="F22" s="115">
        <f t="shared" si="1"/>
        <v>0</v>
      </c>
      <c r="G22" s="142">
        <v>12</v>
      </c>
      <c r="H22" s="117">
        <f t="shared" si="2"/>
        <v>0</v>
      </c>
      <c r="I22" s="142">
        <v>12</v>
      </c>
      <c r="J22" s="118">
        <f t="shared" si="3"/>
        <v>0</v>
      </c>
    </row>
    <row r="23" spans="1:10">
      <c r="A23" s="103" t="s">
        <v>27</v>
      </c>
      <c r="B23" s="104">
        <f>300/25*B2</f>
        <v>0</v>
      </c>
      <c r="C23" s="146">
        <v>150</v>
      </c>
      <c r="D23" s="147">
        <f t="shared" si="0"/>
        <v>0</v>
      </c>
      <c r="E23" s="146">
        <v>200</v>
      </c>
      <c r="F23" s="148">
        <f t="shared" si="1"/>
        <v>0</v>
      </c>
      <c r="G23" s="152">
        <v>300</v>
      </c>
      <c r="H23" s="150">
        <f t="shared" si="2"/>
        <v>0</v>
      </c>
      <c r="I23" s="152">
        <v>300</v>
      </c>
      <c r="J23" s="151">
        <f t="shared" si="3"/>
        <v>0</v>
      </c>
    </row>
    <row r="24" spans="1:10">
      <c r="A24" s="111" t="s">
        <v>28</v>
      </c>
      <c r="B24" s="143">
        <f>7.5/25*B2</f>
        <v>0</v>
      </c>
      <c r="C24" s="153">
        <v>2</v>
      </c>
      <c r="D24" s="154">
        <f t="shared" si="0"/>
        <v>0</v>
      </c>
      <c r="E24" s="153">
        <v>3</v>
      </c>
      <c r="F24" s="155">
        <f t="shared" si="1"/>
        <v>0</v>
      </c>
      <c r="G24" s="225">
        <v>4</v>
      </c>
      <c r="H24" s="226">
        <f t="shared" si="2"/>
        <v>0</v>
      </c>
      <c r="I24" s="225">
        <v>4</v>
      </c>
      <c r="J24" s="227">
        <f t="shared" si="3"/>
        <v>0</v>
      </c>
    </row>
    <row r="25" spans="1:10">
      <c r="A25" s="103" t="s">
        <v>29</v>
      </c>
      <c r="B25" s="104">
        <f>30/25*B2</f>
        <v>0</v>
      </c>
      <c r="C25" s="105">
        <v>8</v>
      </c>
      <c r="D25" s="119">
        <f t="shared" si="0"/>
        <v>0</v>
      </c>
      <c r="E25" s="105">
        <v>12</v>
      </c>
      <c r="F25" s="107">
        <f t="shared" si="1"/>
        <v>0</v>
      </c>
      <c r="G25" s="224">
        <v>20</v>
      </c>
      <c r="H25" s="222">
        <f t="shared" si="2"/>
        <v>0</v>
      </c>
      <c r="I25" s="224">
        <v>20</v>
      </c>
      <c r="J25" s="223">
        <f t="shared" si="3"/>
        <v>0</v>
      </c>
    </row>
    <row r="26" spans="1:10">
      <c r="A26" s="111" t="s">
        <v>30</v>
      </c>
      <c r="B26" s="112">
        <f>60/25*B2</f>
        <v>0</v>
      </c>
      <c r="C26" s="113">
        <v>15</v>
      </c>
      <c r="D26" s="114">
        <f t="shared" si="0"/>
        <v>0</v>
      </c>
      <c r="E26" s="113">
        <v>25</v>
      </c>
      <c r="F26" s="115">
        <f t="shared" si="1"/>
        <v>0</v>
      </c>
      <c r="G26" s="142">
        <v>45</v>
      </c>
      <c r="H26" s="117">
        <f t="shared" si="2"/>
        <v>0</v>
      </c>
      <c r="I26" s="142">
        <v>45</v>
      </c>
      <c r="J26" s="118">
        <f t="shared" si="3"/>
        <v>0</v>
      </c>
    </row>
    <row r="27" spans="1:10">
      <c r="A27" s="103" t="s">
        <v>31</v>
      </c>
      <c r="B27" s="104">
        <f>313/25*B2</f>
        <v>0</v>
      </c>
      <c r="C27" s="156">
        <v>200</v>
      </c>
      <c r="D27" s="157">
        <f t="shared" si="0"/>
        <v>0</v>
      </c>
      <c r="E27" s="156">
        <v>250</v>
      </c>
      <c r="F27" s="158">
        <f t="shared" si="1"/>
        <v>0</v>
      </c>
      <c r="G27" s="224">
        <v>375</v>
      </c>
      <c r="H27" s="222">
        <f t="shared" si="2"/>
        <v>0</v>
      </c>
      <c r="I27" s="224">
        <v>375</v>
      </c>
      <c r="J27" s="223">
        <f t="shared" si="3"/>
        <v>0</v>
      </c>
    </row>
    <row r="28" spans="1:10" ht="15.75" thickBot="1">
      <c r="A28" s="159" t="s">
        <v>32</v>
      </c>
      <c r="B28" s="160">
        <f>50/25*B2</f>
        <v>0</v>
      </c>
      <c r="C28" s="161" t="s">
        <v>33</v>
      </c>
      <c r="D28" s="162"/>
      <c r="E28" s="161" t="s">
        <v>33</v>
      </c>
      <c r="F28" s="163"/>
      <c r="G28" s="236" t="s">
        <v>33</v>
      </c>
      <c r="H28" s="237"/>
      <c r="I28" s="236" t="s">
        <v>33</v>
      </c>
      <c r="J28" s="238"/>
    </row>
    <row r="29" spans="1:10" ht="26.25" thickBot="1">
      <c r="A29" s="497" t="s">
        <v>59</v>
      </c>
      <c r="B29" s="498"/>
      <c r="C29" s="164" t="s">
        <v>50</v>
      </c>
      <c r="D29" s="165" t="s">
        <v>51</v>
      </c>
      <c r="E29" s="166" t="s">
        <v>52</v>
      </c>
      <c r="F29" s="167" t="s">
        <v>53</v>
      </c>
      <c r="G29" s="91" t="s">
        <v>54</v>
      </c>
      <c r="H29" s="92" t="s">
        <v>55</v>
      </c>
      <c r="I29" s="93" t="s">
        <v>56</v>
      </c>
      <c r="J29" s="94" t="s">
        <v>57</v>
      </c>
    </row>
    <row r="30" spans="1:10">
      <c r="A30" s="95" t="s">
        <v>35</v>
      </c>
      <c r="B30" s="457">
        <f>1257/25*B2</f>
        <v>0</v>
      </c>
      <c r="C30" s="97">
        <v>700</v>
      </c>
      <c r="D30" s="168">
        <f t="shared" si="0"/>
        <v>0</v>
      </c>
      <c r="E30" s="97">
        <v>1000</v>
      </c>
      <c r="F30" s="99">
        <f t="shared" ref="F30:F40" si="4">B30/E30</f>
        <v>0</v>
      </c>
      <c r="G30" s="239">
        <v>1300</v>
      </c>
      <c r="H30" s="240">
        <f>B30/G30</f>
        <v>0</v>
      </c>
      <c r="I30" s="239">
        <v>1300</v>
      </c>
      <c r="J30" s="241">
        <f>B30/I30</f>
        <v>0</v>
      </c>
    </row>
    <row r="31" spans="1:10">
      <c r="A31" s="103" t="s">
        <v>36</v>
      </c>
      <c r="B31" s="104">
        <f>787/25*B2</f>
        <v>0</v>
      </c>
      <c r="C31" s="146">
        <v>460</v>
      </c>
      <c r="D31" s="147">
        <f t="shared" si="0"/>
        <v>0</v>
      </c>
      <c r="E31" s="146">
        <v>500</v>
      </c>
      <c r="F31" s="148">
        <f t="shared" si="4"/>
        <v>0</v>
      </c>
      <c r="G31" s="152">
        <v>1250</v>
      </c>
      <c r="H31" s="150">
        <f t="shared" ref="H31:H43" si="5">B31/G31</f>
        <v>0</v>
      </c>
      <c r="I31" s="152">
        <v>1250</v>
      </c>
      <c r="J31" s="151">
        <f t="shared" ref="J31:J43" si="6">B31/I31</f>
        <v>0</v>
      </c>
    </row>
    <row r="32" spans="1:10">
      <c r="A32" s="111" t="s">
        <v>37</v>
      </c>
      <c r="B32" s="112">
        <f>201/25*B2</f>
        <v>0</v>
      </c>
      <c r="C32" s="113">
        <v>80</v>
      </c>
      <c r="D32" s="114">
        <f t="shared" si="0"/>
        <v>0</v>
      </c>
      <c r="E32" s="113">
        <v>130</v>
      </c>
      <c r="F32" s="115">
        <f t="shared" si="4"/>
        <v>0</v>
      </c>
      <c r="G32" s="142">
        <v>240</v>
      </c>
      <c r="H32" s="117">
        <f t="shared" si="5"/>
        <v>0</v>
      </c>
      <c r="I32" s="142">
        <v>240</v>
      </c>
      <c r="J32" s="118">
        <f t="shared" si="6"/>
        <v>0</v>
      </c>
    </row>
    <row r="33" spans="1:10">
      <c r="A33" s="103" t="s">
        <v>38</v>
      </c>
      <c r="B33" s="145">
        <f>11.3/25*B2</f>
        <v>0</v>
      </c>
      <c r="C33" s="146">
        <v>7</v>
      </c>
      <c r="D33" s="147">
        <f t="shared" si="0"/>
        <v>0</v>
      </c>
      <c r="E33" s="146">
        <v>10</v>
      </c>
      <c r="F33" s="148">
        <f t="shared" si="4"/>
        <v>0</v>
      </c>
      <c r="G33" s="152">
        <v>8</v>
      </c>
      <c r="H33" s="150">
        <f t="shared" si="5"/>
        <v>0</v>
      </c>
      <c r="I33" s="152">
        <v>8</v>
      </c>
      <c r="J33" s="151">
        <f t="shared" si="6"/>
        <v>0</v>
      </c>
    </row>
    <row r="34" spans="1:10">
      <c r="A34" s="111" t="s">
        <v>39</v>
      </c>
      <c r="B34" s="143">
        <f>10/25*B2</f>
        <v>0</v>
      </c>
      <c r="C34" s="113">
        <v>3</v>
      </c>
      <c r="D34" s="114">
        <f t="shared" si="0"/>
        <v>0</v>
      </c>
      <c r="E34" s="113">
        <v>5</v>
      </c>
      <c r="F34" s="115">
        <f t="shared" si="4"/>
        <v>0</v>
      </c>
      <c r="G34" s="142">
        <v>8</v>
      </c>
      <c r="H34" s="117">
        <f t="shared" si="5"/>
        <v>0</v>
      </c>
      <c r="I34" s="142">
        <v>8</v>
      </c>
      <c r="J34" s="118">
        <f t="shared" si="6"/>
        <v>0</v>
      </c>
    </row>
    <row r="35" spans="1:10">
      <c r="A35" s="103" t="s">
        <v>40</v>
      </c>
      <c r="B35" s="145">
        <f>1.9/25*B2</f>
        <v>0</v>
      </c>
      <c r="C35" s="105">
        <v>1.2</v>
      </c>
      <c r="D35" s="119">
        <f t="shared" si="0"/>
        <v>0</v>
      </c>
      <c r="E35" s="105">
        <v>1.5</v>
      </c>
      <c r="F35" s="107">
        <f t="shared" si="4"/>
        <v>0</v>
      </c>
      <c r="G35" s="221">
        <v>1.9</v>
      </c>
      <c r="H35" s="222">
        <f t="shared" si="5"/>
        <v>0</v>
      </c>
      <c r="I35" s="221">
        <v>1.6</v>
      </c>
      <c r="J35" s="223">
        <f t="shared" si="6"/>
        <v>0</v>
      </c>
    </row>
    <row r="36" spans="1:10">
      <c r="A36" s="111" t="s">
        <v>41</v>
      </c>
      <c r="B36" s="112">
        <f>1000/25*B2</f>
        <v>0</v>
      </c>
      <c r="C36" s="113">
        <v>340</v>
      </c>
      <c r="D36" s="114">
        <f t="shared" si="0"/>
        <v>0</v>
      </c>
      <c r="E36" s="113">
        <v>440</v>
      </c>
      <c r="F36" s="115">
        <f t="shared" si="4"/>
        <v>0</v>
      </c>
      <c r="G36" s="142">
        <v>700</v>
      </c>
      <c r="H36" s="117">
        <f t="shared" si="5"/>
        <v>0</v>
      </c>
      <c r="I36" s="142">
        <v>700</v>
      </c>
      <c r="J36" s="118">
        <f t="shared" si="6"/>
        <v>0</v>
      </c>
    </row>
    <row r="37" spans="1:10">
      <c r="A37" s="103" t="s">
        <v>42</v>
      </c>
      <c r="B37" s="104">
        <f>115/25*B2</f>
        <v>0</v>
      </c>
      <c r="C37" s="146">
        <v>90</v>
      </c>
      <c r="D37" s="147">
        <f t="shared" si="0"/>
        <v>0</v>
      </c>
      <c r="E37" s="146">
        <v>90</v>
      </c>
      <c r="F37" s="148">
        <f t="shared" si="4"/>
        <v>0</v>
      </c>
      <c r="G37" s="152">
        <v>120</v>
      </c>
      <c r="H37" s="150">
        <f t="shared" si="5"/>
        <v>0</v>
      </c>
      <c r="I37" s="152">
        <v>120</v>
      </c>
      <c r="J37" s="151">
        <f t="shared" si="6"/>
        <v>0</v>
      </c>
    </row>
    <row r="38" spans="1:10">
      <c r="A38" s="111" t="s">
        <v>43</v>
      </c>
      <c r="B38" s="112">
        <f>31/25*B2</f>
        <v>0</v>
      </c>
      <c r="C38" s="113">
        <v>17</v>
      </c>
      <c r="D38" s="114">
        <f t="shared" si="0"/>
        <v>0</v>
      </c>
      <c r="E38" s="113">
        <v>22</v>
      </c>
      <c r="F38" s="115">
        <f t="shared" si="4"/>
        <v>0</v>
      </c>
      <c r="G38" s="142">
        <v>34</v>
      </c>
      <c r="H38" s="117">
        <f t="shared" si="5"/>
        <v>0</v>
      </c>
      <c r="I38" s="142">
        <v>34</v>
      </c>
      <c r="J38" s="118">
        <f t="shared" si="6"/>
        <v>0</v>
      </c>
    </row>
    <row r="39" spans="1:10">
      <c r="A39" s="103" t="s">
        <v>44</v>
      </c>
      <c r="B39" s="104">
        <f>21/25*B2</f>
        <v>0</v>
      </c>
      <c r="C39" s="105">
        <v>11</v>
      </c>
      <c r="D39" s="119">
        <f t="shared" si="0"/>
        <v>0</v>
      </c>
      <c r="E39" s="105">
        <v>15</v>
      </c>
      <c r="F39" s="107">
        <f t="shared" si="4"/>
        <v>0</v>
      </c>
      <c r="G39" s="224">
        <v>25</v>
      </c>
      <c r="H39" s="222">
        <f t="shared" si="5"/>
        <v>0</v>
      </c>
      <c r="I39" s="224">
        <v>21</v>
      </c>
      <c r="J39" s="223">
        <f t="shared" si="6"/>
        <v>0</v>
      </c>
    </row>
    <row r="40" spans="1:10">
      <c r="A40" s="111" t="s">
        <v>45</v>
      </c>
      <c r="B40" s="112">
        <f>63/25*B2</f>
        <v>0</v>
      </c>
      <c r="C40" s="169">
        <v>20</v>
      </c>
      <c r="D40" s="170">
        <f t="shared" si="0"/>
        <v>0</v>
      </c>
      <c r="E40" s="169">
        <v>30</v>
      </c>
      <c r="F40" s="171">
        <f t="shared" si="4"/>
        <v>0</v>
      </c>
      <c r="G40" s="142">
        <v>40</v>
      </c>
      <c r="H40" s="117">
        <f t="shared" si="5"/>
        <v>0</v>
      </c>
      <c r="I40" s="142">
        <v>40</v>
      </c>
      <c r="J40" s="118">
        <f t="shared" si="6"/>
        <v>0</v>
      </c>
    </row>
    <row r="41" spans="1:10">
      <c r="A41" s="103" t="s">
        <v>46</v>
      </c>
      <c r="B41" s="104">
        <f>384/25*B2</f>
        <v>0</v>
      </c>
      <c r="C41" s="172">
        <v>1000</v>
      </c>
      <c r="D41" s="173">
        <f>B41/C41</f>
        <v>0</v>
      </c>
      <c r="E41" s="172">
        <v>1200</v>
      </c>
      <c r="F41" s="174">
        <f>B41/E41</f>
        <v>0</v>
      </c>
      <c r="G41" s="224">
        <v>1500</v>
      </c>
      <c r="H41" s="222">
        <f t="shared" si="5"/>
        <v>0</v>
      </c>
      <c r="I41" s="224">
        <v>1500</v>
      </c>
      <c r="J41" s="223">
        <f t="shared" si="6"/>
        <v>0</v>
      </c>
    </row>
    <row r="42" spans="1:10">
      <c r="A42" s="159" t="s">
        <v>47</v>
      </c>
      <c r="B42" s="175">
        <f>874/25*B2</f>
        <v>0</v>
      </c>
      <c r="C42" s="176">
        <v>3000</v>
      </c>
      <c r="D42" s="162">
        <f>B42/C42</f>
        <v>0</v>
      </c>
      <c r="E42" s="176">
        <v>3800</v>
      </c>
      <c r="F42" s="163">
        <f>B42/E42</f>
        <v>0</v>
      </c>
      <c r="G42" s="225">
        <v>4500</v>
      </c>
      <c r="H42" s="226">
        <f t="shared" si="5"/>
        <v>0</v>
      </c>
      <c r="I42" s="225">
        <v>4500</v>
      </c>
      <c r="J42" s="227">
        <f t="shared" si="6"/>
        <v>0</v>
      </c>
    </row>
    <row r="43" spans="1:10" ht="15.75" thickBot="1">
      <c r="A43" s="177" t="s">
        <v>48</v>
      </c>
      <c r="B43" s="178">
        <f>475/25*B2</f>
        <v>0</v>
      </c>
      <c r="C43" s="179">
        <v>1500</v>
      </c>
      <c r="D43" s="180">
        <f>B43/C43</f>
        <v>0</v>
      </c>
      <c r="E43" s="179">
        <v>1900</v>
      </c>
      <c r="F43" s="181">
        <f>B43/E43</f>
        <v>0</v>
      </c>
      <c r="G43" s="228">
        <v>2300</v>
      </c>
      <c r="H43" s="229">
        <f t="shared" si="5"/>
        <v>0</v>
      </c>
      <c r="I43" s="228">
        <v>2300</v>
      </c>
      <c r="J43" s="230">
        <f t="shared" si="6"/>
        <v>0</v>
      </c>
    </row>
  </sheetData>
  <sheetProtection password="C0A5" sheet="1" objects="1" scenarios="1"/>
  <mergeCells count="5">
    <mergeCell ref="A1:J1"/>
    <mergeCell ref="C2:J2"/>
    <mergeCell ref="A3:B3"/>
    <mergeCell ref="A13:B13"/>
    <mergeCell ref="A29:B2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19"/>
  <sheetViews>
    <sheetView showGridLines="0" showRowColHeaders="0" zoomScale="80" zoomScaleNormal="80" workbookViewId="0"/>
  </sheetViews>
  <sheetFormatPr defaultRowHeight="15"/>
  <cols>
    <col min="1" max="1" width="3" customWidth="1"/>
    <col min="2" max="2" width="20.28515625" customWidth="1"/>
    <col min="3" max="3" width="15.7109375" customWidth="1"/>
    <col min="4" max="4" width="1.140625" customWidth="1"/>
    <col min="5" max="5" width="16.42578125" customWidth="1"/>
    <col min="6" max="6" width="1.140625" customWidth="1"/>
    <col min="7" max="7" width="16.42578125" customWidth="1"/>
    <col min="8" max="8" width="1.140625" customWidth="1"/>
    <col min="9" max="9" width="16.42578125" customWidth="1"/>
    <col min="10" max="10" width="1.140625" customWidth="1"/>
    <col min="11" max="11" width="16.42578125" customWidth="1"/>
    <col min="12" max="12" width="1.140625" customWidth="1"/>
    <col min="13" max="13" width="16.42578125" customWidth="1"/>
    <col min="14" max="14" width="1.140625" customWidth="1"/>
    <col min="15" max="15" width="16.42578125" customWidth="1"/>
    <col min="16" max="16" width="1.140625" customWidth="1"/>
    <col min="17" max="17" width="16.42578125" customWidth="1"/>
    <col min="18" max="18" width="4.28515625" customWidth="1"/>
  </cols>
  <sheetData>
    <row r="1" spans="1:17" ht="15.75" thickBot="1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</row>
    <row r="2" spans="1:17" ht="19.5" thickBot="1">
      <c r="A2" s="220"/>
      <c r="B2" s="220"/>
      <c r="C2" s="220"/>
      <c r="D2" s="220"/>
      <c r="E2" s="499" t="s">
        <v>112</v>
      </c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1"/>
    </row>
    <row r="3" spans="1:17" ht="60" customHeight="1" thickBot="1">
      <c r="A3" s="220"/>
      <c r="B3" s="502" t="s">
        <v>113</v>
      </c>
      <c r="C3" s="503"/>
      <c r="D3" s="504"/>
      <c r="E3" s="259" t="s">
        <v>95</v>
      </c>
      <c r="F3" s="260"/>
      <c r="G3" s="261" t="s">
        <v>96</v>
      </c>
      <c r="H3" s="262"/>
      <c r="I3" s="263" t="s">
        <v>119</v>
      </c>
      <c r="J3" s="260"/>
      <c r="K3" s="264" t="s">
        <v>85</v>
      </c>
      <c r="L3" s="260"/>
      <c r="M3" s="265" t="s">
        <v>97</v>
      </c>
      <c r="N3" s="266"/>
      <c r="O3" s="267" t="s">
        <v>98</v>
      </c>
      <c r="P3" s="266"/>
      <c r="Q3" s="268" t="s">
        <v>120</v>
      </c>
    </row>
    <row r="4" spans="1:17" ht="57.75" thickBot="1">
      <c r="A4" s="220"/>
      <c r="B4" s="511" t="s">
        <v>114</v>
      </c>
      <c r="C4" s="512"/>
      <c r="D4" s="505"/>
      <c r="E4" s="403" t="s">
        <v>125</v>
      </c>
      <c r="F4" s="269"/>
      <c r="G4" s="404" t="s">
        <v>124</v>
      </c>
      <c r="H4" s="262"/>
      <c r="I4" s="401" t="s">
        <v>109</v>
      </c>
      <c r="J4" s="269"/>
      <c r="K4" s="401" t="s">
        <v>111</v>
      </c>
      <c r="L4" s="269"/>
      <c r="M4" s="401" t="s">
        <v>109</v>
      </c>
      <c r="N4" s="269"/>
      <c r="O4" s="402" t="s">
        <v>110</v>
      </c>
      <c r="P4" s="269"/>
      <c r="Q4" s="401" t="s">
        <v>111</v>
      </c>
    </row>
    <row r="5" spans="1:17" ht="71.25" customHeight="1" thickBot="1">
      <c r="A5" s="220"/>
      <c r="B5" s="405" t="s">
        <v>99</v>
      </c>
      <c r="C5" s="406"/>
      <c r="D5" s="506"/>
      <c r="E5" s="270"/>
      <c r="F5" s="269"/>
      <c r="G5" s="271"/>
      <c r="H5" s="262"/>
      <c r="I5" s="272"/>
      <c r="J5" s="269"/>
      <c r="K5" s="273"/>
      <c r="L5" s="269"/>
      <c r="M5" s="274"/>
      <c r="N5" s="269"/>
      <c r="O5" s="275"/>
      <c r="P5" s="269"/>
      <c r="Q5" s="274"/>
    </row>
    <row r="6" spans="1:17" ht="18">
      <c r="A6" s="220"/>
      <c r="B6" s="507" t="s">
        <v>100</v>
      </c>
      <c r="C6" s="508"/>
      <c r="D6" s="276"/>
      <c r="E6" s="277">
        <f>100*C5/13</f>
        <v>0</v>
      </c>
      <c r="F6" s="278"/>
      <c r="G6" s="279">
        <f>100*C5/13.5</f>
        <v>0</v>
      </c>
      <c r="H6" s="280"/>
      <c r="I6" s="281">
        <f>100*C5/10</f>
        <v>0</v>
      </c>
      <c r="J6" s="278"/>
      <c r="K6" s="282">
        <f>100*C5/25</f>
        <v>0</v>
      </c>
      <c r="L6" s="278"/>
      <c r="M6" s="283">
        <f>100*C5/25</f>
        <v>0</v>
      </c>
      <c r="N6" s="284"/>
      <c r="O6" s="285">
        <f>100*C5/40</f>
        <v>0</v>
      </c>
      <c r="P6" s="284"/>
      <c r="Q6" s="286">
        <f>100*C5/81</f>
        <v>0</v>
      </c>
    </row>
    <row r="7" spans="1:17" ht="15.75" thickBot="1">
      <c r="A7" s="220"/>
      <c r="B7" s="287" t="s">
        <v>8</v>
      </c>
      <c r="C7" s="288"/>
      <c r="D7" s="289"/>
      <c r="E7" s="290">
        <f>475*C5/13</f>
        <v>0</v>
      </c>
      <c r="F7" s="278"/>
      <c r="G7" s="291">
        <f>473*C5/13.5</f>
        <v>0</v>
      </c>
      <c r="H7" s="292"/>
      <c r="I7" s="293">
        <f>410*C5/10</f>
        <v>0</v>
      </c>
      <c r="J7" s="278"/>
      <c r="K7" s="294">
        <f>385*C5/25</f>
        <v>0</v>
      </c>
      <c r="L7" s="278"/>
      <c r="M7" s="295">
        <f>324*C5/25</f>
        <v>0</v>
      </c>
      <c r="N7" s="284"/>
      <c r="O7" s="296">
        <f>305*C5/40</f>
        <v>0</v>
      </c>
      <c r="P7" s="284"/>
      <c r="Q7" s="297">
        <f>324*C5/81</f>
        <v>0</v>
      </c>
    </row>
    <row r="8" spans="1:17" ht="15.75" thickBot="1">
      <c r="A8" s="220"/>
      <c r="B8" s="298" t="s">
        <v>9</v>
      </c>
      <c r="C8" s="299"/>
      <c r="D8" s="262"/>
      <c r="E8" s="300">
        <f>13*C5/13</f>
        <v>0</v>
      </c>
      <c r="F8" s="301"/>
      <c r="G8" s="302">
        <f>13.5*C5/13.5</f>
        <v>0</v>
      </c>
      <c r="H8" s="303"/>
      <c r="I8" s="304">
        <f>10*C5/10</f>
        <v>0</v>
      </c>
      <c r="J8" s="301"/>
      <c r="K8" s="305">
        <f>25*C5/25</f>
        <v>0</v>
      </c>
      <c r="L8" s="301"/>
      <c r="M8" s="306">
        <f>25*C5/25</f>
        <v>0</v>
      </c>
      <c r="N8" s="307"/>
      <c r="O8" s="296">
        <f>40*C5/40</f>
        <v>0</v>
      </c>
      <c r="P8" s="307"/>
      <c r="Q8" s="308">
        <f>81*C5/81</f>
        <v>0</v>
      </c>
    </row>
    <row r="9" spans="1:17" ht="15.75" thickBot="1">
      <c r="A9" s="220"/>
      <c r="B9" s="298" t="s">
        <v>101</v>
      </c>
      <c r="C9" s="309"/>
      <c r="D9" s="310"/>
      <c r="E9" s="290">
        <f>59*C5/13</f>
        <v>0</v>
      </c>
      <c r="F9" s="278"/>
      <c r="G9" s="311">
        <f>53*C5/13.5</f>
        <v>0</v>
      </c>
      <c r="H9" s="280"/>
      <c r="I9" s="293">
        <f>69*C5/10</f>
        <v>0</v>
      </c>
      <c r="J9" s="278"/>
      <c r="K9" s="294">
        <f>45*C5/25</f>
        <v>0</v>
      </c>
      <c r="L9" s="278"/>
      <c r="M9" s="295">
        <f>56*C5/25</f>
        <v>0</v>
      </c>
      <c r="N9" s="284"/>
      <c r="O9" s="296">
        <f>34*C5/40</f>
        <v>0</v>
      </c>
      <c r="P9" s="284"/>
      <c r="Q9" s="297">
        <f>0*C5/81</f>
        <v>0</v>
      </c>
    </row>
    <row r="10" spans="1:17" ht="15.75" thickBot="1">
      <c r="A10" s="220"/>
      <c r="B10" s="298" t="s">
        <v>102</v>
      </c>
      <c r="C10" s="312"/>
      <c r="D10" s="289"/>
      <c r="E10" s="313">
        <v>0</v>
      </c>
      <c r="F10" s="301"/>
      <c r="G10" s="314">
        <f>5.3*C5/13.5</f>
        <v>0</v>
      </c>
      <c r="H10" s="315"/>
      <c r="I10" s="316">
        <f>0*C5/10</f>
        <v>0</v>
      </c>
      <c r="J10" s="301"/>
      <c r="K10" s="409">
        <f>3.9*C5/25</f>
        <v>0</v>
      </c>
      <c r="L10" s="301"/>
      <c r="M10" s="317">
        <f>0*C5/25</f>
        <v>0</v>
      </c>
      <c r="N10" s="307"/>
      <c r="O10" s="318">
        <f>0*C5/40</f>
        <v>0</v>
      </c>
      <c r="P10" s="307"/>
      <c r="Q10" s="297">
        <f>0*C5/81</f>
        <v>0</v>
      </c>
    </row>
    <row r="11" spans="1:17" ht="15.75" thickBot="1">
      <c r="A11" s="220"/>
      <c r="B11" s="319" t="s">
        <v>10</v>
      </c>
      <c r="C11" s="312"/>
      <c r="D11" s="289"/>
      <c r="E11" s="290">
        <f>20.9*C5/13</f>
        <v>0</v>
      </c>
      <c r="F11" s="320"/>
      <c r="G11" s="311">
        <f>23*C5/13.5</f>
        <v>0</v>
      </c>
      <c r="H11" s="321"/>
      <c r="I11" s="322">
        <f>10*C5/10</f>
        <v>0</v>
      </c>
      <c r="J11" s="320"/>
      <c r="K11" s="323">
        <f>13*C5/25</f>
        <v>0</v>
      </c>
      <c r="L11" s="278"/>
      <c r="M11" s="324">
        <f>0.1*C5/25</f>
        <v>0</v>
      </c>
      <c r="N11" s="325"/>
      <c r="O11" s="326">
        <f>0.1*C5/40</f>
        <v>0</v>
      </c>
      <c r="P11" s="284"/>
      <c r="Q11" s="327">
        <f>0*C5/81</f>
        <v>0</v>
      </c>
    </row>
    <row r="12" spans="1:17" ht="15.75" thickBot="1">
      <c r="A12" s="220"/>
      <c r="B12" s="298" t="s">
        <v>103</v>
      </c>
      <c r="C12" s="309"/>
      <c r="D12" s="310"/>
      <c r="E12" s="328">
        <f>0*C5/13</f>
        <v>0</v>
      </c>
      <c r="F12" s="301"/>
      <c r="G12" s="329">
        <f>70*C5/13.5</f>
        <v>0</v>
      </c>
      <c r="H12" s="330"/>
      <c r="I12" s="331">
        <f>0*C5/10</f>
        <v>0</v>
      </c>
      <c r="J12" s="301"/>
      <c r="K12" s="332">
        <f>0*C5/25</f>
        <v>0</v>
      </c>
      <c r="L12" s="301"/>
      <c r="M12" s="333">
        <f>0*C5/25</f>
        <v>0</v>
      </c>
      <c r="N12" s="307"/>
      <c r="O12" s="296">
        <f>0*C5/40</f>
        <v>0</v>
      </c>
      <c r="P12" s="307"/>
      <c r="Q12" s="297">
        <f>0*C5/81</f>
        <v>0</v>
      </c>
    </row>
    <row r="13" spans="1:17" ht="15.75" thickBot="1">
      <c r="A13" s="220"/>
      <c r="B13" s="334" t="s">
        <v>104</v>
      </c>
      <c r="C13" s="335"/>
      <c r="D13" s="262"/>
      <c r="E13" s="336">
        <f>0*C5/13</f>
        <v>0</v>
      </c>
      <c r="F13" s="337"/>
      <c r="G13" s="338">
        <f>140*C5/13.5</f>
        <v>0</v>
      </c>
      <c r="H13" s="315"/>
      <c r="I13" s="339">
        <f>0*C5/10</f>
        <v>0</v>
      </c>
      <c r="J13" s="337"/>
      <c r="K13" s="340">
        <f>0*C5/25</f>
        <v>0</v>
      </c>
      <c r="L13" s="337"/>
      <c r="M13" s="341">
        <f>0*C5/25</f>
        <v>0</v>
      </c>
      <c r="N13" s="342"/>
      <c r="O13" s="343">
        <f>0*C5/40</f>
        <v>0</v>
      </c>
      <c r="P13" s="307"/>
      <c r="Q13" s="344">
        <f>0*C5/28</f>
        <v>0</v>
      </c>
    </row>
    <row r="14" spans="1:17">
      <c r="A14" s="220"/>
      <c r="B14" s="345"/>
      <c r="C14" s="346"/>
      <c r="D14" s="347"/>
      <c r="E14" s="346"/>
      <c r="F14" s="347"/>
      <c r="G14" s="348"/>
      <c r="H14" s="315"/>
      <c r="I14" s="348"/>
      <c r="J14" s="347"/>
      <c r="K14" s="348"/>
      <c r="L14" s="347"/>
      <c r="M14" s="349"/>
      <c r="N14" s="350"/>
      <c r="O14" s="351"/>
      <c r="P14" s="350"/>
      <c r="Q14" s="351"/>
    </row>
    <row r="15" spans="1:17" ht="41.25" customHeight="1" thickBot="1">
      <c r="A15" s="220"/>
      <c r="B15" s="352"/>
      <c r="C15" s="353"/>
      <c r="D15" s="347"/>
      <c r="E15" s="353"/>
      <c r="F15" s="347"/>
      <c r="G15" s="354"/>
      <c r="H15" s="315"/>
      <c r="I15" s="220"/>
      <c r="J15" s="347"/>
      <c r="K15" s="354"/>
      <c r="L15" s="347"/>
      <c r="M15" s="355"/>
      <c r="N15" s="350"/>
      <c r="O15" s="355"/>
      <c r="P15" s="350"/>
      <c r="Q15" s="356"/>
    </row>
    <row r="16" spans="1:17" ht="18.75" thickBot="1">
      <c r="A16" s="220"/>
      <c r="B16" s="509" t="s">
        <v>105</v>
      </c>
      <c r="C16" s="510"/>
      <c r="D16" s="357"/>
      <c r="E16" s="358"/>
      <c r="F16" s="359"/>
      <c r="G16" s="360"/>
      <c r="H16" s="361"/>
      <c r="I16" s="358"/>
      <c r="J16" s="359"/>
      <c r="K16" s="362"/>
      <c r="L16" s="359"/>
      <c r="M16" s="363"/>
      <c r="N16" s="364"/>
      <c r="O16" s="365"/>
      <c r="P16" s="364"/>
      <c r="Q16" s="365"/>
    </row>
    <row r="17" spans="1:17" ht="16.5" thickBot="1">
      <c r="A17" s="220"/>
      <c r="B17" s="366" t="s">
        <v>106</v>
      </c>
      <c r="C17" s="367"/>
      <c r="D17" s="368"/>
      <c r="E17" s="369" t="str">
        <f>IF(E7=0,"",E9*4/E7)</f>
        <v/>
      </c>
      <c r="F17" s="370"/>
      <c r="G17" s="371" t="str">
        <f>IF(G7=0,"",G9*4/G7)</f>
        <v/>
      </c>
      <c r="H17" s="361"/>
      <c r="I17" s="372" t="str">
        <f>IF(I7=0,"",I9*4/I7)</f>
        <v/>
      </c>
      <c r="J17" s="370"/>
      <c r="K17" s="373" t="str">
        <f>IF(K7=0,"",K9*4/K7)</f>
        <v/>
      </c>
      <c r="L17" s="370"/>
      <c r="M17" s="374" t="str">
        <f>IF(M7=0,"",M9*4/M7)</f>
        <v/>
      </c>
      <c r="N17" s="375"/>
      <c r="O17" s="376" t="str">
        <f>IF(O7=0,"",O9*4/O7)</f>
        <v/>
      </c>
      <c r="P17" s="375"/>
      <c r="Q17" s="377" t="str">
        <f>IF(Q7=0,"",Q9*4/Q7)</f>
        <v/>
      </c>
    </row>
    <row r="18" spans="1:17" ht="16.5" thickBot="1">
      <c r="A18" s="220"/>
      <c r="B18" s="378" t="s">
        <v>107</v>
      </c>
      <c r="C18" s="379"/>
      <c r="D18" s="380"/>
      <c r="E18" s="381" t="str">
        <f>IF(E7=0,"",E8*4/E7)</f>
        <v/>
      </c>
      <c r="F18" s="370"/>
      <c r="G18" s="382" t="str">
        <f>IF(G7=0,"",G8*4/G7)</f>
        <v/>
      </c>
      <c r="H18" s="383"/>
      <c r="I18" s="384" t="str">
        <f>IF(I7=0,"",I8*4/I7)</f>
        <v/>
      </c>
      <c r="J18" s="370"/>
      <c r="K18" s="385" t="str">
        <f>IF(K7=0,"",K8*4/K7)</f>
        <v/>
      </c>
      <c r="L18" s="370"/>
      <c r="M18" s="386" t="str">
        <f>IF(M7=0,"",M8*4/M7)</f>
        <v/>
      </c>
      <c r="N18" s="375"/>
      <c r="O18" s="387" t="str">
        <f>IF(O7=0,"",O8*4/O7)</f>
        <v/>
      </c>
      <c r="P18" s="375"/>
      <c r="Q18" s="388" t="str">
        <f>IF(Q7=0,"",Q8*4/Q7)</f>
        <v/>
      </c>
    </row>
    <row r="19" spans="1:17" ht="16.5" thickBot="1">
      <c r="A19" s="220"/>
      <c r="B19" s="378" t="s">
        <v>108</v>
      </c>
      <c r="C19" s="389"/>
      <c r="D19" s="390"/>
      <c r="E19" s="391" t="str">
        <f>IF(E7=0,"",E11*9/E7)</f>
        <v/>
      </c>
      <c r="F19" s="392"/>
      <c r="G19" s="393" t="str">
        <f>IF(G7=0,"",G11*9/G7)</f>
        <v/>
      </c>
      <c r="H19" s="394"/>
      <c r="I19" s="395" t="str">
        <f>IF(I7=0,"",I11*9/I7)</f>
        <v/>
      </c>
      <c r="J19" s="392"/>
      <c r="K19" s="396" t="str">
        <f>IF(K7=0,"",K11*9/K7)</f>
        <v/>
      </c>
      <c r="L19" s="392"/>
      <c r="M19" s="397" t="str">
        <f>IF(M7=0,"",M11*9/M7)</f>
        <v/>
      </c>
      <c r="N19" s="398"/>
      <c r="O19" s="399" t="str">
        <f>IF(O7=0,"",O11*9/O7)</f>
        <v/>
      </c>
      <c r="P19" s="398"/>
      <c r="Q19" s="400" t="str">
        <f>IF(Q7=0,"",Q11*9/Q7)</f>
        <v/>
      </c>
    </row>
  </sheetData>
  <sheetProtection password="C0A5" sheet="1" objects="1" scenarios="1"/>
  <mergeCells count="6">
    <mergeCell ref="E2:Q2"/>
    <mergeCell ref="B3:C3"/>
    <mergeCell ref="D3:D5"/>
    <mergeCell ref="B6:C6"/>
    <mergeCell ref="B16:C16"/>
    <mergeCell ref="B4:C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25"/>
  <sheetViews>
    <sheetView showGridLines="0" showRowColHeaders="0" zoomScale="80" zoomScaleNormal="80" workbookViewId="0">
      <selection sqref="A1:B1"/>
    </sheetView>
  </sheetViews>
  <sheetFormatPr defaultRowHeight="15"/>
  <cols>
    <col min="1" max="1" width="20.7109375" customWidth="1"/>
    <col min="2" max="2" width="27.28515625" customWidth="1"/>
    <col min="13" max="13" width="4.28515625" customWidth="1"/>
  </cols>
  <sheetData>
    <row r="1" spans="1:12" ht="45" customHeight="1">
      <c r="A1" s="518" t="s">
        <v>60</v>
      </c>
      <c r="B1" s="519"/>
      <c r="C1" s="182"/>
      <c r="D1" s="520" t="s">
        <v>122</v>
      </c>
      <c r="E1" s="520"/>
      <c r="F1" s="520"/>
      <c r="G1" s="520"/>
      <c r="H1" s="520"/>
      <c r="I1" s="520"/>
      <c r="J1" s="182"/>
      <c r="K1" s="182"/>
      <c r="L1" s="183"/>
    </row>
    <row r="2" spans="1:12" ht="45" customHeight="1" thickBot="1">
      <c r="A2" s="184"/>
      <c r="B2" s="185"/>
      <c r="C2" s="185"/>
      <c r="D2" s="521"/>
      <c r="E2" s="521"/>
      <c r="F2" s="521"/>
      <c r="G2" s="521"/>
      <c r="H2" s="521"/>
      <c r="I2" s="521"/>
      <c r="J2" s="185"/>
      <c r="K2" s="185"/>
      <c r="L2" s="186"/>
    </row>
    <row r="3" spans="1:12">
      <c r="A3" s="187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6"/>
    </row>
    <row r="4" spans="1:12" ht="15.75" thickBot="1">
      <c r="A4" s="187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6"/>
    </row>
    <row r="5" spans="1:12">
      <c r="A5" s="522" t="s">
        <v>61</v>
      </c>
      <c r="B5" s="516" t="s">
        <v>62</v>
      </c>
      <c r="C5" s="516"/>
      <c r="D5" s="516"/>
      <c r="E5" s="516"/>
      <c r="F5" s="516"/>
      <c r="G5" s="516"/>
      <c r="H5" s="516"/>
      <c r="I5" s="516"/>
      <c r="J5" s="516"/>
      <c r="K5" s="516"/>
      <c r="L5" s="517"/>
    </row>
    <row r="6" spans="1:12">
      <c r="A6" s="523"/>
      <c r="B6" s="188"/>
      <c r="C6" s="189" t="s">
        <v>63</v>
      </c>
      <c r="D6" s="189" t="s">
        <v>64</v>
      </c>
      <c r="E6" s="189" t="s">
        <v>65</v>
      </c>
      <c r="F6" s="189" t="s">
        <v>66</v>
      </c>
      <c r="G6" s="189" t="s">
        <v>67</v>
      </c>
      <c r="H6" s="189" t="s">
        <v>68</v>
      </c>
      <c r="I6" s="189" t="s">
        <v>69</v>
      </c>
      <c r="J6" s="189" t="s">
        <v>70</v>
      </c>
      <c r="K6" s="189" t="s">
        <v>71</v>
      </c>
      <c r="L6" s="190" t="s">
        <v>72</v>
      </c>
    </row>
    <row r="7" spans="1:12">
      <c r="A7" s="523"/>
      <c r="B7" s="191" t="s">
        <v>118</v>
      </c>
      <c r="C7" s="192">
        <f>100*A2/13*0.9</f>
        <v>0</v>
      </c>
      <c r="D7" s="192">
        <f>100*A2/13*0.8</f>
        <v>0</v>
      </c>
      <c r="E7" s="192">
        <f>100*A2/13*0.7</f>
        <v>0</v>
      </c>
      <c r="F7" s="192">
        <f>100*A2/13*0.6</f>
        <v>0</v>
      </c>
      <c r="G7" s="192">
        <f>100*A2/13*0.5</f>
        <v>0</v>
      </c>
      <c r="H7" s="192">
        <f>100*A2/13*0.4</f>
        <v>0</v>
      </c>
      <c r="I7" s="192">
        <f>100*A2/13*0.3</f>
        <v>0</v>
      </c>
      <c r="J7" s="192">
        <f>100*A2/13*0.2</f>
        <v>0</v>
      </c>
      <c r="K7" s="192">
        <f>100*A2/13*0.1</f>
        <v>0</v>
      </c>
      <c r="L7" s="193">
        <f>100*A2/13*0</f>
        <v>0</v>
      </c>
    </row>
    <row r="8" spans="1:12">
      <c r="A8" s="523"/>
      <c r="B8" s="218" t="s">
        <v>117</v>
      </c>
      <c r="C8" s="194">
        <f>100*A2/13.5*0.1</f>
        <v>0</v>
      </c>
      <c r="D8" s="194">
        <f>100*A2/13.5*0.2</f>
        <v>0</v>
      </c>
      <c r="E8" s="194">
        <f>100*A2/13.5*0.3</f>
        <v>0</v>
      </c>
      <c r="F8" s="194">
        <f>100*A2/13.5*0.4</f>
        <v>0</v>
      </c>
      <c r="G8" s="194">
        <f>100*A2/13.5*0.5</f>
        <v>0</v>
      </c>
      <c r="H8" s="194">
        <f>100*A2/13.5*0.6</f>
        <v>0</v>
      </c>
      <c r="I8" s="194">
        <f>100*A2/13.5*0.7</f>
        <v>0</v>
      </c>
      <c r="J8" s="194">
        <f>100*A2/13.5*0.8</f>
        <v>0</v>
      </c>
      <c r="K8" s="194">
        <f>100*A2/13.5*0.9</f>
        <v>0</v>
      </c>
      <c r="L8" s="195">
        <f>100*A2/13.5*1</f>
        <v>0</v>
      </c>
    </row>
    <row r="9" spans="1:12" ht="15.75" thickBot="1">
      <c r="A9" s="524"/>
      <c r="B9" s="196" t="s">
        <v>73</v>
      </c>
      <c r="C9" s="197">
        <f t="shared" ref="C9:L9" si="0">C8*5.3/100</f>
        <v>0</v>
      </c>
      <c r="D9" s="197">
        <f t="shared" si="0"/>
        <v>0</v>
      </c>
      <c r="E9" s="197">
        <f t="shared" si="0"/>
        <v>0</v>
      </c>
      <c r="F9" s="197">
        <f t="shared" si="0"/>
        <v>0</v>
      </c>
      <c r="G9" s="197">
        <f t="shared" si="0"/>
        <v>0</v>
      </c>
      <c r="H9" s="197">
        <f t="shared" si="0"/>
        <v>0</v>
      </c>
      <c r="I9" s="197">
        <f t="shared" si="0"/>
        <v>0</v>
      </c>
      <c r="J9" s="197">
        <f t="shared" si="0"/>
        <v>0</v>
      </c>
      <c r="K9" s="197">
        <f t="shared" si="0"/>
        <v>0</v>
      </c>
      <c r="L9" s="198">
        <f t="shared" si="0"/>
        <v>0</v>
      </c>
    </row>
    <row r="10" spans="1:12">
      <c r="A10" s="187"/>
      <c r="B10" s="199"/>
      <c r="C10" s="200"/>
      <c r="D10" s="200"/>
      <c r="E10" s="200"/>
      <c r="F10" s="200"/>
      <c r="G10" s="185"/>
      <c r="H10" s="185"/>
      <c r="I10" s="185"/>
      <c r="J10" s="185"/>
      <c r="K10" s="185"/>
      <c r="L10" s="186"/>
    </row>
    <row r="11" spans="1:12" ht="15.75" thickBot="1">
      <c r="A11" s="187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>
      <c r="A12" s="525" t="s">
        <v>74</v>
      </c>
      <c r="B12" s="516" t="s">
        <v>75</v>
      </c>
      <c r="C12" s="516"/>
      <c r="D12" s="516"/>
      <c r="E12" s="516"/>
      <c r="F12" s="516"/>
      <c r="G12" s="516"/>
      <c r="H12" s="516"/>
      <c r="I12" s="517"/>
      <c r="J12" s="185"/>
      <c r="K12" s="185"/>
      <c r="L12" s="186"/>
    </row>
    <row r="13" spans="1:12">
      <c r="A13" s="526"/>
      <c r="B13" s="188"/>
      <c r="C13" s="189" t="s">
        <v>63</v>
      </c>
      <c r="D13" s="189" t="s">
        <v>64</v>
      </c>
      <c r="E13" s="189" t="s">
        <v>65</v>
      </c>
      <c r="F13" s="189" t="s">
        <v>66</v>
      </c>
      <c r="G13" s="189" t="s">
        <v>67</v>
      </c>
      <c r="H13" s="189" t="s">
        <v>68</v>
      </c>
      <c r="I13" s="190" t="s">
        <v>69</v>
      </c>
      <c r="J13" s="185"/>
      <c r="K13" s="185"/>
      <c r="L13" s="186"/>
    </row>
    <row r="14" spans="1:12">
      <c r="A14" s="526"/>
      <c r="B14" s="191" t="s">
        <v>118</v>
      </c>
      <c r="C14" s="192">
        <f>100*A2/13*0.857</f>
        <v>0</v>
      </c>
      <c r="D14" s="192">
        <f>100*A2/13*0.714</f>
        <v>0</v>
      </c>
      <c r="E14" s="192">
        <f>100*A2/13*0.571</f>
        <v>0</v>
      </c>
      <c r="F14" s="192">
        <f>100*A2/13*0.429</f>
        <v>0</v>
      </c>
      <c r="G14" s="192">
        <f>100*A2/13*0.286</f>
        <v>0</v>
      </c>
      <c r="H14" s="192">
        <f>100*A2/13*0.143</f>
        <v>0</v>
      </c>
      <c r="I14" s="193">
        <f>100*A2/13*0</f>
        <v>0</v>
      </c>
      <c r="J14" s="185"/>
      <c r="K14" s="185"/>
      <c r="L14" s="186"/>
    </row>
    <row r="15" spans="1:12">
      <c r="A15" s="526"/>
      <c r="B15" s="218" t="s">
        <v>117</v>
      </c>
      <c r="C15" s="194">
        <f>100*A2/13.5*0.143</f>
        <v>0</v>
      </c>
      <c r="D15" s="194">
        <f>100*A2/13.5*0.286</f>
        <v>0</v>
      </c>
      <c r="E15" s="194">
        <f>100*A2/13.5*0.429</f>
        <v>0</v>
      </c>
      <c r="F15" s="194">
        <f>100*A2/13.5*0.571</f>
        <v>0</v>
      </c>
      <c r="G15" s="194">
        <f>100*A2/13.5*0.714</f>
        <v>0</v>
      </c>
      <c r="H15" s="194">
        <f>100*A2/13.5*0.857</f>
        <v>0</v>
      </c>
      <c r="I15" s="195">
        <f>100*A2/13.5*1</f>
        <v>0</v>
      </c>
      <c r="J15" s="185"/>
      <c r="K15" s="185"/>
      <c r="L15" s="186"/>
    </row>
    <row r="16" spans="1:12" ht="15.75" thickBot="1">
      <c r="A16" s="527"/>
      <c r="B16" s="196" t="s">
        <v>73</v>
      </c>
      <c r="C16" s="197">
        <f t="shared" ref="C16:I16" si="1">C15*5.3/100</f>
        <v>0</v>
      </c>
      <c r="D16" s="197">
        <f t="shared" si="1"/>
        <v>0</v>
      </c>
      <c r="E16" s="197">
        <f t="shared" si="1"/>
        <v>0</v>
      </c>
      <c r="F16" s="197">
        <f t="shared" si="1"/>
        <v>0</v>
      </c>
      <c r="G16" s="197">
        <f t="shared" si="1"/>
        <v>0</v>
      </c>
      <c r="H16" s="197">
        <f t="shared" si="1"/>
        <v>0</v>
      </c>
      <c r="I16" s="198">
        <f t="shared" si="1"/>
        <v>0</v>
      </c>
      <c r="J16" s="199" t="s">
        <v>76</v>
      </c>
      <c r="K16" s="185"/>
      <c r="L16" s="186"/>
    </row>
    <row r="17" spans="1:12">
      <c r="A17" s="187"/>
      <c r="B17" s="199"/>
      <c r="C17" s="201"/>
      <c r="D17" s="201"/>
      <c r="E17" s="201"/>
      <c r="F17" s="201"/>
      <c r="G17" s="201"/>
      <c r="H17" s="201"/>
      <c r="I17" s="201"/>
      <c r="J17" s="185"/>
      <c r="K17" s="185"/>
      <c r="L17" s="186"/>
    </row>
    <row r="18" spans="1:12" ht="15.75" thickBot="1">
      <c r="A18" s="187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6"/>
    </row>
    <row r="19" spans="1:12">
      <c r="A19" s="513" t="s">
        <v>77</v>
      </c>
      <c r="B19" s="516" t="s">
        <v>78</v>
      </c>
      <c r="C19" s="516"/>
      <c r="D19" s="516"/>
      <c r="E19" s="516"/>
      <c r="F19" s="517"/>
      <c r="G19" s="185"/>
      <c r="H19" s="185"/>
      <c r="I19" s="185"/>
      <c r="J19" s="185"/>
      <c r="K19" s="185"/>
      <c r="L19" s="186"/>
    </row>
    <row r="20" spans="1:12">
      <c r="A20" s="514"/>
      <c r="B20" s="188"/>
      <c r="C20" s="189" t="s">
        <v>63</v>
      </c>
      <c r="D20" s="189" t="s">
        <v>64</v>
      </c>
      <c r="E20" s="189" t="s">
        <v>65</v>
      </c>
      <c r="F20" s="190" t="s">
        <v>66</v>
      </c>
      <c r="G20" s="185"/>
      <c r="H20" s="185"/>
      <c r="I20" s="185"/>
      <c r="J20" s="185"/>
      <c r="K20" s="185"/>
      <c r="L20" s="186"/>
    </row>
    <row r="21" spans="1:12">
      <c r="A21" s="514"/>
      <c r="B21" s="191" t="s">
        <v>118</v>
      </c>
      <c r="C21" s="192">
        <f>100*A2/13*0.75</f>
        <v>0</v>
      </c>
      <c r="D21" s="192">
        <f>100*A2/13*0.5</f>
        <v>0</v>
      </c>
      <c r="E21" s="192">
        <f>100*A2/13*0.25</f>
        <v>0</v>
      </c>
      <c r="F21" s="193">
        <f>100/13*A2*0</f>
        <v>0</v>
      </c>
      <c r="G21" s="185"/>
      <c r="H21" s="185"/>
      <c r="I21" s="185"/>
      <c r="J21" s="185"/>
      <c r="K21" s="185"/>
      <c r="L21" s="186"/>
    </row>
    <row r="22" spans="1:12">
      <c r="A22" s="514"/>
      <c r="B22" s="218" t="s">
        <v>117</v>
      </c>
      <c r="C22" s="194">
        <f>100*A2/13.5*0.25</f>
        <v>0</v>
      </c>
      <c r="D22" s="194">
        <f>100*A2/13.5*0.5</f>
        <v>0</v>
      </c>
      <c r="E22" s="194">
        <f>100*A2/13.5*0.75</f>
        <v>0</v>
      </c>
      <c r="F22" s="195">
        <f>100*A2/13.5*1</f>
        <v>0</v>
      </c>
      <c r="G22" s="185"/>
      <c r="H22" s="185"/>
      <c r="I22" s="185"/>
      <c r="J22" s="185"/>
      <c r="K22" s="185"/>
      <c r="L22" s="186"/>
    </row>
    <row r="23" spans="1:12" ht="15.75" thickBot="1">
      <c r="A23" s="515"/>
      <c r="B23" s="196" t="s">
        <v>73</v>
      </c>
      <c r="C23" s="197">
        <f>C22*5.3/100</f>
        <v>0</v>
      </c>
      <c r="D23" s="197">
        <f>D22*5.3/100</f>
        <v>0</v>
      </c>
      <c r="E23" s="197">
        <f>E22*5.3/100</f>
        <v>0</v>
      </c>
      <c r="F23" s="198">
        <f>F22*5.3/100</f>
        <v>0</v>
      </c>
      <c r="G23" s="185"/>
      <c r="H23" s="185"/>
      <c r="I23" s="185"/>
      <c r="J23" s="185"/>
      <c r="K23" s="185"/>
      <c r="L23" s="186"/>
    </row>
    <row r="24" spans="1:12">
      <c r="A24" s="187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6"/>
    </row>
    <row r="25" spans="1:12" ht="15.75" thickBot="1">
      <c r="A25" s="202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4"/>
    </row>
  </sheetData>
  <sheetProtection password="C0A5" sheet="1" objects="1" scenarios="1"/>
  <mergeCells count="8">
    <mergeCell ref="A19:A23"/>
    <mergeCell ref="B19:F19"/>
    <mergeCell ref="A1:B1"/>
    <mergeCell ref="D1:I2"/>
    <mergeCell ref="A5:A9"/>
    <mergeCell ref="B5:L5"/>
    <mergeCell ref="A12:A16"/>
    <mergeCell ref="B12:I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25"/>
  <sheetViews>
    <sheetView showGridLines="0" showRowColHeaders="0" zoomScale="80" zoomScaleNormal="80" workbookViewId="0">
      <selection sqref="A1:B1"/>
    </sheetView>
  </sheetViews>
  <sheetFormatPr defaultRowHeight="15"/>
  <cols>
    <col min="1" max="1" width="20.7109375" customWidth="1"/>
    <col min="2" max="2" width="25.140625" customWidth="1"/>
    <col min="13" max="13" width="4.28515625" customWidth="1"/>
  </cols>
  <sheetData>
    <row r="1" spans="1:12" ht="45" customHeight="1">
      <c r="A1" s="518" t="s">
        <v>60</v>
      </c>
      <c r="B1" s="519"/>
      <c r="C1" s="182"/>
      <c r="D1" s="520" t="s">
        <v>123</v>
      </c>
      <c r="E1" s="520"/>
      <c r="F1" s="520"/>
      <c r="G1" s="520"/>
      <c r="H1" s="520"/>
      <c r="I1" s="520"/>
      <c r="J1" s="182"/>
      <c r="K1" s="182"/>
      <c r="L1" s="183"/>
    </row>
    <row r="2" spans="1:12" ht="45" customHeight="1" thickBot="1">
      <c r="A2" s="184"/>
      <c r="B2" s="185"/>
      <c r="C2" s="185"/>
      <c r="D2" s="521"/>
      <c r="E2" s="521"/>
      <c r="F2" s="521"/>
      <c r="G2" s="521"/>
      <c r="H2" s="521"/>
      <c r="I2" s="521"/>
      <c r="J2" s="185"/>
      <c r="K2" s="185"/>
      <c r="L2" s="186"/>
    </row>
    <row r="3" spans="1:12">
      <c r="A3" s="187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6"/>
    </row>
    <row r="4" spans="1:12" ht="15.75" thickBot="1">
      <c r="A4" s="187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6"/>
    </row>
    <row r="5" spans="1:12">
      <c r="A5" s="522" t="s">
        <v>61</v>
      </c>
      <c r="B5" s="516" t="s">
        <v>79</v>
      </c>
      <c r="C5" s="516"/>
      <c r="D5" s="516"/>
      <c r="E5" s="516"/>
      <c r="F5" s="516"/>
      <c r="G5" s="516"/>
      <c r="H5" s="516"/>
      <c r="I5" s="516"/>
      <c r="J5" s="516"/>
      <c r="K5" s="516"/>
      <c r="L5" s="517"/>
    </row>
    <row r="6" spans="1:12">
      <c r="A6" s="523"/>
      <c r="B6" s="188"/>
      <c r="C6" s="189" t="s">
        <v>63</v>
      </c>
      <c r="D6" s="189" t="s">
        <v>64</v>
      </c>
      <c r="E6" s="189" t="s">
        <v>65</v>
      </c>
      <c r="F6" s="189" t="s">
        <v>66</v>
      </c>
      <c r="G6" s="189" t="s">
        <v>67</v>
      </c>
      <c r="H6" s="189" t="s">
        <v>68</v>
      </c>
      <c r="I6" s="189" t="s">
        <v>69</v>
      </c>
      <c r="J6" s="189" t="s">
        <v>70</v>
      </c>
      <c r="K6" s="189" t="s">
        <v>71</v>
      </c>
      <c r="L6" s="190" t="s">
        <v>72</v>
      </c>
    </row>
    <row r="7" spans="1:12">
      <c r="A7" s="523"/>
      <c r="B7" s="191" t="s">
        <v>83</v>
      </c>
      <c r="C7" s="192">
        <f>100*A2/13.5*0.9</f>
        <v>0</v>
      </c>
      <c r="D7" s="192">
        <f>100*A2/13.5*0.8</f>
        <v>0</v>
      </c>
      <c r="E7" s="192">
        <f>100*A2/13.5*0.7</f>
        <v>0</v>
      </c>
      <c r="F7" s="192">
        <f>100*A2/13.5*0.6</f>
        <v>0</v>
      </c>
      <c r="G7" s="192">
        <f>100*A2/13.5*0.5</f>
        <v>0</v>
      </c>
      <c r="H7" s="192">
        <f>100*A2/13.5*0.4</f>
        <v>0</v>
      </c>
      <c r="I7" s="192">
        <f>100*A2/13.5*0.3</f>
        <v>0</v>
      </c>
      <c r="J7" s="192">
        <f>100*A2/13.5*0.2</f>
        <v>0</v>
      </c>
      <c r="K7" s="192">
        <f>100*A2/13.5*0.1</f>
        <v>0</v>
      </c>
      <c r="L7" s="193">
        <f>100*A2/13.5*0</f>
        <v>0</v>
      </c>
    </row>
    <row r="8" spans="1:12">
      <c r="A8" s="523"/>
      <c r="B8" s="205" t="s">
        <v>84</v>
      </c>
      <c r="C8" s="194">
        <f>100*A2/25*0.1</f>
        <v>0</v>
      </c>
      <c r="D8" s="194">
        <f>100*A2/25*0.2</f>
        <v>0</v>
      </c>
      <c r="E8" s="194">
        <f>100*A2/25*0.3</f>
        <v>0</v>
      </c>
      <c r="F8" s="194">
        <f>100*A2/25*0.4</f>
        <v>0</v>
      </c>
      <c r="G8" s="194">
        <f>100*A2/25*0.5</f>
        <v>0</v>
      </c>
      <c r="H8" s="194">
        <f>100*A2/25*0.6</f>
        <v>0</v>
      </c>
      <c r="I8" s="194">
        <f>100*A2/25*0.7</f>
        <v>0</v>
      </c>
      <c r="J8" s="194">
        <f>100*A2/25*0.8</f>
        <v>0</v>
      </c>
      <c r="K8" s="194">
        <f>100*A2/25*0.9</f>
        <v>0</v>
      </c>
      <c r="L8" s="195">
        <f>100*A2/25*1</f>
        <v>0</v>
      </c>
    </row>
    <row r="9" spans="1:12" ht="15.75" thickBot="1">
      <c r="A9" s="524"/>
      <c r="B9" s="196" t="s">
        <v>73</v>
      </c>
      <c r="C9" s="197">
        <f t="shared" ref="C9:L9" si="0">(C8*3.9/100)+(C7*5.3/100)</f>
        <v>0</v>
      </c>
      <c r="D9" s="197">
        <f t="shared" si="0"/>
        <v>0</v>
      </c>
      <c r="E9" s="197">
        <f t="shared" si="0"/>
        <v>0</v>
      </c>
      <c r="F9" s="197">
        <f t="shared" si="0"/>
        <v>0</v>
      </c>
      <c r="G9" s="197">
        <f t="shared" si="0"/>
        <v>0</v>
      </c>
      <c r="H9" s="197">
        <f t="shared" si="0"/>
        <v>0</v>
      </c>
      <c r="I9" s="197">
        <f t="shared" si="0"/>
        <v>0</v>
      </c>
      <c r="J9" s="197">
        <f t="shared" si="0"/>
        <v>0</v>
      </c>
      <c r="K9" s="197">
        <f t="shared" si="0"/>
        <v>0</v>
      </c>
      <c r="L9" s="198">
        <f t="shared" si="0"/>
        <v>0</v>
      </c>
    </row>
    <row r="10" spans="1:12">
      <c r="A10" s="187"/>
      <c r="B10" s="199"/>
      <c r="C10" s="200"/>
      <c r="D10" s="200"/>
      <c r="E10" s="200"/>
      <c r="F10" s="200"/>
      <c r="G10" s="185"/>
      <c r="H10" s="185"/>
      <c r="I10" s="185"/>
      <c r="J10" s="185"/>
      <c r="K10" s="185"/>
      <c r="L10" s="186"/>
    </row>
    <row r="11" spans="1:12" ht="15.75" thickBot="1">
      <c r="A11" s="187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>
      <c r="A12" s="525" t="s">
        <v>74</v>
      </c>
      <c r="B12" s="516" t="s">
        <v>75</v>
      </c>
      <c r="C12" s="516"/>
      <c r="D12" s="516"/>
      <c r="E12" s="516"/>
      <c r="F12" s="516"/>
      <c r="G12" s="516"/>
      <c r="H12" s="516"/>
      <c r="I12" s="517"/>
      <c r="J12" s="185"/>
      <c r="K12" s="185"/>
      <c r="L12" s="186"/>
    </row>
    <row r="13" spans="1:12">
      <c r="A13" s="526"/>
      <c r="B13" s="188"/>
      <c r="C13" s="189" t="s">
        <v>63</v>
      </c>
      <c r="D13" s="189" t="s">
        <v>64</v>
      </c>
      <c r="E13" s="189" t="s">
        <v>65</v>
      </c>
      <c r="F13" s="189" t="s">
        <v>66</v>
      </c>
      <c r="G13" s="189" t="s">
        <v>67</v>
      </c>
      <c r="H13" s="189" t="s">
        <v>68</v>
      </c>
      <c r="I13" s="190" t="s">
        <v>69</v>
      </c>
      <c r="J13" s="185"/>
      <c r="K13" s="185"/>
      <c r="L13" s="186"/>
    </row>
    <row r="14" spans="1:12">
      <c r="A14" s="526"/>
      <c r="B14" s="191" t="s">
        <v>83</v>
      </c>
      <c r="C14" s="192">
        <f>100*A2/13.5*0.857</f>
        <v>0</v>
      </c>
      <c r="D14" s="192">
        <f>100*A2/13.5*0.714</f>
        <v>0</v>
      </c>
      <c r="E14" s="192">
        <f>100*A2/13.5*0.571</f>
        <v>0</v>
      </c>
      <c r="F14" s="192">
        <f>100*A2/13.5*0.429</f>
        <v>0</v>
      </c>
      <c r="G14" s="192">
        <f>100*A2/13.5*0.286</f>
        <v>0</v>
      </c>
      <c r="H14" s="192">
        <f>100*A2/13.5*0.143</f>
        <v>0</v>
      </c>
      <c r="I14" s="193">
        <f>100*A2/13.5*0</f>
        <v>0</v>
      </c>
      <c r="J14" s="185"/>
      <c r="K14" s="185"/>
      <c r="L14" s="186"/>
    </row>
    <row r="15" spans="1:12">
      <c r="A15" s="526"/>
      <c r="B15" s="205" t="s">
        <v>84</v>
      </c>
      <c r="C15" s="194">
        <f>100*A2/25*0.143</f>
        <v>0</v>
      </c>
      <c r="D15" s="194">
        <f>100*A2/25*0.286</f>
        <v>0</v>
      </c>
      <c r="E15" s="194">
        <f>100*A2/25*0.429</f>
        <v>0</v>
      </c>
      <c r="F15" s="194">
        <f>100*A2/25*0.571</f>
        <v>0</v>
      </c>
      <c r="G15" s="194">
        <f>100*A2/25*0.714</f>
        <v>0</v>
      </c>
      <c r="H15" s="194">
        <f>100*A2/25*0.857</f>
        <v>0</v>
      </c>
      <c r="I15" s="195">
        <f>100*A2/25*1</f>
        <v>0</v>
      </c>
      <c r="J15" s="185"/>
      <c r="K15" s="185"/>
      <c r="L15" s="186"/>
    </row>
    <row r="16" spans="1:12" ht="15.75" thickBot="1">
      <c r="A16" s="527"/>
      <c r="B16" s="196" t="s">
        <v>73</v>
      </c>
      <c r="C16" s="197">
        <f t="shared" ref="C16:I16" si="1">(C15*3.9/100)+(C14*5.3/100)</f>
        <v>0</v>
      </c>
      <c r="D16" s="197">
        <f t="shared" si="1"/>
        <v>0</v>
      </c>
      <c r="E16" s="197">
        <f t="shared" si="1"/>
        <v>0</v>
      </c>
      <c r="F16" s="197">
        <f t="shared" si="1"/>
        <v>0</v>
      </c>
      <c r="G16" s="197">
        <f t="shared" si="1"/>
        <v>0</v>
      </c>
      <c r="H16" s="197">
        <f t="shared" si="1"/>
        <v>0</v>
      </c>
      <c r="I16" s="198">
        <f t="shared" si="1"/>
        <v>0</v>
      </c>
      <c r="J16" s="199" t="s">
        <v>76</v>
      </c>
      <c r="K16" s="185"/>
      <c r="L16" s="186"/>
    </row>
    <row r="17" spans="1:12">
      <c r="A17" s="187"/>
      <c r="B17" s="199"/>
      <c r="C17" s="201"/>
      <c r="D17" s="201"/>
      <c r="E17" s="201"/>
      <c r="F17" s="201"/>
      <c r="G17" s="201"/>
      <c r="H17" s="201"/>
      <c r="I17" s="201"/>
      <c r="J17" s="185"/>
      <c r="K17" s="185"/>
      <c r="L17" s="186"/>
    </row>
    <row r="18" spans="1:12" ht="15.75" thickBot="1">
      <c r="A18" s="187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6"/>
    </row>
    <row r="19" spans="1:12">
      <c r="A19" s="513" t="s">
        <v>77</v>
      </c>
      <c r="B19" s="516" t="s">
        <v>78</v>
      </c>
      <c r="C19" s="516"/>
      <c r="D19" s="516"/>
      <c r="E19" s="516"/>
      <c r="F19" s="517"/>
      <c r="G19" s="185"/>
      <c r="H19" s="185"/>
      <c r="I19" s="185"/>
      <c r="J19" s="185"/>
      <c r="K19" s="185"/>
      <c r="L19" s="186"/>
    </row>
    <row r="20" spans="1:12">
      <c r="A20" s="514"/>
      <c r="B20" s="188"/>
      <c r="C20" s="189" t="s">
        <v>63</v>
      </c>
      <c r="D20" s="189" t="s">
        <v>64</v>
      </c>
      <c r="E20" s="189" t="s">
        <v>65</v>
      </c>
      <c r="F20" s="190" t="s">
        <v>66</v>
      </c>
      <c r="G20" s="185"/>
      <c r="H20" s="185"/>
      <c r="I20" s="185"/>
      <c r="J20" s="185"/>
      <c r="K20" s="185"/>
      <c r="L20" s="186"/>
    </row>
    <row r="21" spans="1:12">
      <c r="A21" s="514"/>
      <c r="B21" s="191" t="s">
        <v>83</v>
      </c>
      <c r="C21" s="192">
        <f>100*A2/13.5*0.75</f>
        <v>0</v>
      </c>
      <c r="D21" s="192">
        <f>100*A2/13.5*0.5</f>
        <v>0</v>
      </c>
      <c r="E21" s="192">
        <f>100*A2/13.5*0.25</f>
        <v>0</v>
      </c>
      <c r="F21" s="193">
        <f>100*A2/13.5*0</f>
        <v>0</v>
      </c>
      <c r="G21" s="185"/>
      <c r="H21" s="185"/>
      <c r="I21" s="185"/>
      <c r="J21" s="185"/>
      <c r="K21" s="185"/>
      <c r="L21" s="186"/>
    </row>
    <row r="22" spans="1:12">
      <c r="A22" s="514"/>
      <c r="B22" s="205" t="s">
        <v>84</v>
      </c>
      <c r="C22" s="194">
        <f>100*A2/25*0.25</f>
        <v>0</v>
      </c>
      <c r="D22" s="194">
        <f>100*A2/25*0.5</f>
        <v>0</v>
      </c>
      <c r="E22" s="194">
        <f>100*A2/25*0.75</f>
        <v>0</v>
      </c>
      <c r="F22" s="195">
        <f>100*A2/25*1</f>
        <v>0</v>
      </c>
      <c r="G22" s="185"/>
      <c r="H22" s="185"/>
      <c r="I22" s="185"/>
      <c r="J22" s="185"/>
      <c r="K22" s="185"/>
      <c r="L22" s="186"/>
    </row>
    <row r="23" spans="1:12" ht="15.75" thickBot="1">
      <c r="A23" s="515"/>
      <c r="B23" s="196" t="s">
        <v>73</v>
      </c>
      <c r="C23" s="197">
        <f>(C22*3.9/100)+(C21*5.3/100)</f>
        <v>0</v>
      </c>
      <c r="D23" s="197">
        <f>(D22*3.9/100)+(D21*5.3/100)</f>
        <v>0</v>
      </c>
      <c r="E23" s="197">
        <f>(E22*3.9/100)+(E21*5.3/100)</f>
        <v>0</v>
      </c>
      <c r="F23" s="198">
        <f>(F22*3.9/100)+(F21*5.3/100)</f>
        <v>0</v>
      </c>
      <c r="G23" s="185"/>
      <c r="H23" s="185"/>
      <c r="I23" s="185"/>
      <c r="J23" s="185"/>
      <c r="K23" s="185"/>
      <c r="L23" s="186"/>
    </row>
    <row r="24" spans="1:12">
      <c r="A24" s="187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6"/>
    </row>
    <row r="25" spans="1:12" ht="15.75" thickBot="1">
      <c r="A25" s="202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4"/>
    </row>
  </sheetData>
  <sheetProtection password="C0A5" sheet="1" objects="1" scenarios="1"/>
  <mergeCells count="8">
    <mergeCell ref="A19:A23"/>
    <mergeCell ref="B19:F19"/>
    <mergeCell ref="A1:B1"/>
    <mergeCell ref="D1:I2"/>
    <mergeCell ref="A5:A9"/>
    <mergeCell ref="B5:L5"/>
    <mergeCell ref="A12:A16"/>
    <mergeCell ref="B12:I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9"/>
  <sheetViews>
    <sheetView showGridLines="0" showRowColHeaders="0" zoomScale="80" zoomScaleNormal="80" workbookViewId="0">
      <selection sqref="A1:B1"/>
    </sheetView>
  </sheetViews>
  <sheetFormatPr defaultRowHeight="15"/>
  <cols>
    <col min="1" max="1" width="20.7109375" customWidth="1"/>
    <col min="2" max="2" width="27.140625" customWidth="1"/>
    <col min="13" max="13" width="4.28515625" customWidth="1"/>
  </cols>
  <sheetData>
    <row r="1" spans="1:22" ht="45" customHeight="1">
      <c r="A1" s="518" t="s">
        <v>60</v>
      </c>
      <c r="B1" s="519"/>
      <c r="C1" s="182"/>
      <c r="D1" s="520" t="s">
        <v>93</v>
      </c>
      <c r="E1" s="520"/>
      <c r="F1" s="520"/>
      <c r="G1" s="520"/>
      <c r="H1" s="520"/>
      <c r="I1" s="520"/>
      <c r="J1" s="182"/>
      <c r="K1" s="182"/>
      <c r="L1" s="183"/>
    </row>
    <row r="2" spans="1:22" ht="45" customHeight="1" thickBot="1">
      <c r="A2" s="184"/>
      <c r="B2" s="185"/>
      <c r="C2" s="185"/>
      <c r="D2" s="521"/>
      <c r="E2" s="521"/>
      <c r="F2" s="521"/>
      <c r="G2" s="521"/>
      <c r="H2" s="521"/>
      <c r="I2" s="521"/>
      <c r="J2" s="185"/>
      <c r="K2" s="185"/>
      <c r="L2" s="186"/>
    </row>
    <row r="3" spans="1:22">
      <c r="A3" s="187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6"/>
    </row>
    <row r="4" spans="1:22" ht="15.75" thickBot="1">
      <c r="A4" s="187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6"/>
    </row>
    <row r="5" spans="1:22">
      <c r="A5" s="522" t="s">
        <v>61</v>
      </c>
      <c r="B5" s="516" t="s">
        <v>62</v>
      </c>
      <c r="C5" s="516"/>
      <c r="D5" s="516"/>
      <c r="E5" s="516"/>
      <c r="F5" s="516"/>
      <c r="G5" s="516"/>
      <c r="H5" s="516"/>
      <c r="I5" s="516"/>
      <c r="J5" s="516"/>
      <c r="K5" s="516"/>
      <c r="L5" s="517"/>
    </row>
    <row r="6" spans="1:22">
      <c r="A6" s="523"/>
      <c r="B6" s="188"/>
      <c r="C6" s="189" t="s">
        <v>63</v>
      </c>
      <c r="D6" s="189" t="s">
        <v>64</v>
      </c>
      <c r="E6" s="189" t="s">
        <v>65</v>
      </c>
      <c r="F6" s="189" t="s">
        <v>66</v>
      </c>
      <c r="G6" s="189" t="s">
        <v>67</v>
      </c>
      <c r="H6" s="189" t="s">
        <v>68</v>
      </c>
      <c r="I6" s="189" t="s">
        <v>69</v>
      </c>
      <c r="J6" s="189" t="s">
        <v>70</v>
      </c>
      <c r="K6" s="189" t="s">
        <v>71</v>
      </c>
      <c r="L6" s="190" t="s">
        <v>72</v>
      </c>
    </row>
    <row r="7" spans="1:22">
      <c r="A7" s="523"/>
      <c r="B7" s="191" t="s">
        <v>115</v>
      </c>
      <c r="C7" s="192">
        <f>100*A2/15*0.9</f>
        <v>0</v>
      </c>
      <c r="D7" s="192">
        <f>100*A2/15*0.8</f>
        <v>0</v>
      </c>
      <c r="E7" s="192">
        <f>100*A2/15*0.7</f>
        <v>0</v>
      </c>
      <c r="F7" s="192">
        <f>100*A2/15*0.6</f>
        <v>0</v>
      </c>
      <c r="G7" s="192">
        <f>100*A2/15*0.5</f>
        <v>0</v>
      </c>
      <c r="H7" s="192">
        <f>100*A2/15*0.4</f>
        <v>0</v>
      </c>
      <c r="I7" s="192">
        <f>100*A2/15*0.3</f>
        <v>0</v>
      </c>
      <c r="J7" s="192">
        <f>100*A2/15*0.2</f>
        <v>0</v>
      </c>
      <c r="K7" s="192">
        <f>100*A2/15*0.1</f>
        <v>0</v>
      </c>
      <c r="L7" s="193">
        <f>100*A2/15*0</f>
        <v>0</v>
      </c>
    </row>
    <row r="8" spans="1:22">
      <c r="A8" s="523"/>
      <c r="B8" s="218" t="s">
        <v>117</v>
      </c>
      <c r="C8" s="194">
        <f>100*A2/13.5*0.1</f>
        <v>0</v>
      </c>
      <c r="D8" s="194">
        <f>100*A2/13.5*0.2</f>
        <v>0</v>
      </c>
      <c r="E8" s="194">
        <f>100*A2/13.5*0.3</f>
        <v>0</v>
      </c>
      <c r="F8" s="194">
        <f>100*A2/13.5*0.4</f>
        <v>0</v>
      </c>
      <c r="G8" s="194">
        <f>100*A2/13.5*0.5</f>
        <v>0</v>
      </c>
      <c r="H8" s="194">
        <f>100*A2/13.5*0.6</f>
        <v>0</v>
      </c>
      <c r="I8" s="194">
        <f>100*A2/13.5*0.7</f>
        <v>0</v>
      </c>
      <c r="J8" s="194">
        <f>100*A2/13.5*0.8</f>
        <v>0</v>
      </c>
      <c r="K8" s="194">
        <f>100*A2/13.5*0.9</f>
        <v>0</v>
      </c>
      <c r="L8" s="195">
        <f>100*A2/13.5*1</f>
        <v>0</v>
      </c>
    </row>
    <row r="9" spans="1:22" ht="15.75" thickBot="1">
      <c r="A9" s="524"/>
      <c r="B9" s="196" t="s">
        <v>73</v>
      </c>
      <c r="C9" s="197">
        <f t="shared" ref="C9:L9" si="0">C8*5.3/100</f>
        <v>0</v>
      </c>
      <c r="D9" s="197">
        <f t="shared" si="0"/>
        <v>0</v>
      </c>
      <c r="E9" s="197">
        <f t="shared" si="0"/>
        <v>0</v>
      </c>
      <c r="F9" s="197">
        <f t="shared" si="0"/>
        <v>0</v>
      </c>
      <c r="G9" s="197">
        <f t="shared" si="0"/>
        <v>0</v>
      </c>
      <c r="H9" s="197">
        <f t="shared" si="0"/>
        <v>0</v>
      </c>
      <c r="I9" s="197">
        <f t="shared" si="0"/>
        <v>0</v>
      </c>
      <c r="J9" s="197">
        <f t="shared" si="0"/>
        <v>0</v>
      </c>
      <c r="K9" s="197">
        <f t="shared" si="0"/>
        <v>0</v>
      </c>
      <c r="L9" s="198">
        <f t="shared" si="0"/>
        <v>0</v>
      </c>
    </row>
    <row r="10" spans="1:22">
      <c r="A10" s="187"/>
      <c r="B10" s="199"/>
      <c r="C10" s="200"/>
      <c r="D10" s="200"/>
      <c r="E10" s="200"/>
      <c r="F10" s="200"/>
      <c r="G10" s="185"/>
      <c r="H10" s="185"/>
      <c r="I10" s="185"/>
      <c r="J10" s="185"/>
      <c r="K10" s="185"/>
      <c r="L10" s="186"/>
    </row>
    <row r="11" spans="1:22" ht="15.75" thickBot="1">
      <c r="A11" s="187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22">
      <c r="A12" s="525" t="s">
        <v>74</v>
      </c>
      <c r="B12" s="516" t="s">
        <v>75</v>
      </c>
      <c r="C12" s="516"/>
      <c r="D12" s="516"/>
      <c r="E12" s="516"/>
      <c r="F12" s="516"/>
      <c r="G12" s="516"/>
      <c r="H12" s="516"/>
      <c r="I12" s="517"/>
      <c r="J12" s="185"/>
      <c r="K12" s="185"/>
      <c r="L12" s="186"/>
    </row>
    <row r="13" spans="1:22">
      <c r="A13" s="526"/>
      <c r="B13" s="188"/>
      <c r="C13" s="189" t="s">
        <v>63</v>
      </c>
      <c r="D13" s="189" t="s">
        <v>64</v>
      </c>
      <c r="E13" s="189" t="s">
        <v>65</v>
      </c>
      <c r="F13" s="189" t="s">
        <v>66</v>
      </c>
      <c r="G13" s="189" t="s">
        <v>67</v>
      </c>
      <c r="H13" s="189" t="s">
        <v>68</v>
      </c>
      <c r="I13" s="190" t="s">
        <v>69</v>
      </c>
      <c r="J13" s="185"/>
      <c r="K13" s="185"/>
      <c r="L13" s="186"/>
    </row>
    <row r="14" spans="1:22">
      <c r="A14" s="526"/>
      <c r="B14" s="191" t="s">
        <v>115</v>
      </c>
      <c r="C14" s="192">
        <f>100*A2/15*0.857</f>
        <v>0</v>
      </c>
      <c r="D14" s="192">
        <f>100*A2/15*0.714</f>
        <v>0</v>
      </c>
      <c r="E14" s="192">
        <f>100*A2/15*0.571</f>
        <v>0</v>
      </c>
      <c r="F14" s="192">
        <f>100*A2/15*0.429</f>
        <v>0</v>
      </c>
      <c r="G14" s="192">
        <f>100*A2/15*0.286</f>
        <v>0</v>
      </c>
      <c r="H14" s="192">
        <f>100*A2/15*0.143</f>
        <v>0</v>
      </c>
      <c r="I14" s="193">
        <f>100*A2/15*0</f>
        <v>0</v>
      </c>
      <c r="J14" s="185"/>
      <c r="K14" s="185"/>
      <c r="L14" s="186"/>
    </row>
    <row r="15" spans="1:22">
      <c r="A15" s="526"/>
      <c r="B15" s="218" t="s">
        <v>117</v>
      </c>
      <c r="C15" s="194">
        <f>100*A2/13.5*0.143</f>
        <v>0</v>
      </c>
      <c r="D15" s="194">
        <f>100*A2/13.5*0.286</f>
        <v>0</v>
      </c>
      <c r="E15" s="194">
        <f>100*A2/13.5*0.429</f>
        <v>0</v>
      </c>
      <c r="F15" s="194">
        <f>100*A2/13.5*0.571</f>
        <v>0</v>
      </c>
      <c r="G15" s="194">
        <f>100*A2/13.5*0.714</f>
        <v>0</v>
      </c>
      <c r="H15" s="194">
        <f>100*A2/13.5*0.857</f>
        <v>0</v>
      </c>
      <c r="I15" s="195">
        <f>100*A2/13.5*1</f>
        <v>0</v>
      </c>
      <c r="J15" s="185"/>
      <c r="K15" s="185"/>
      <c r="L15" s="186"/>
    </row>
    <row r="16" spans="1:22" ht="15.75" thickBot="1">
      <c r="A16" s="527"/>
      <c r="B16" s="196" t="s">
        <v>73</v>
      </c>
      <c r="C16" s="197">
        <f t="shared" ref="C16:I16" si="1">C15*5.3/100</f>
        <v>0</v>
      </c>
      <c r="D16" s="197">
        <f t="shared" si="1"/>
        <v>0</v>
      </c>
      <c r="E16" s="197">
        <f t="shared" si="1"/>
        <v>0</v>
      </c>
      <c r="F16" s="197">
        <f t="shared" si="1"/>
        <v>0</v>
      </c>
      <c r="G16" s="197">
        <f t="shared" si="1"/>
        <v>0</v>
      </c>
      <c r="H16" s="197">
        <f t="shared" si="1"/>
        <v>0</v>
      </c>
      <c r="I16" s="198">
        <f t="shared" si="1"/>
        <v>0</v>
      </c>
      <c r="J16" s="199" t="s">
        <v>76</v>
      </c>
      <c r="K16" s="185"/>
      <c r="L16" s="186"/>
      <c r="V16" t="s">
        <v>76</v>
      </c>
    </row>
    <row r="17" spans="1:19">
      <c r="A17" s="187"/>
      <c r="B17" s="199"/>
      <c r="C17" s="201"/>
      <c r="D17" s="201"/>
      <c r="E17" s="201"/>
      <c r="F17" s="201"/>
      <c r="G17" s="201"/>
      <c r="H17" s="201"/>
      <c r="I17" s="201"/>
      <c r="J17" s="185"/>
      <c r="K17" s="185"/>
      <c r="L17" s="186"/>
    </row>
    <row r="18" spans="1:19" ht="15.75" thickBot="1">
      <c r="A18" s="187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6"/>
    </row>
    <row r="19" spans="1:19">
      <c r="A19" s="513" t="s">
        <v>77</v>
      </c>
      <c r="B19" s="516" t="s">
        <v>78</v>
      </c>
      <c r="C19" s="516"/>
      <c r="D19" s="516"/>
      <c r="E19" s="516"/>
      <c r="F19" s="517"/>
      <c r="G19" s="185"/>
      <c r="H19" s="185"/>
      <c r="I19" s="185"/>
      <c r="J19" s="185"/>
      <c r="K19" s="185"/>
      <c r="L19" s="186"/>
    </row>
    <row r="20" spans="1:19">
      <c r="A20" s="514"/>
      <c r="B20" s="188"/>
      <c r="C20" s="189" t="s">
        <v>63</v>
      </c>
      <c r="D20" s="189" t="s">
        <v>64</v>
      </c>
      <c r="E20" s="189" t="s">
        <v>65</v>
      </c>
      <c r="F20" s="190" t="s">
        <v>66</v>
      </c>
      <c r="G20" s="185"/>
      <c r="H20" s="185"/>
      <c r="I20" s="185"/>
      <c r="J20" s="185"/>
      <c r="K20" s="185"/>
      <c r="L20" s="186"/>
    </row>
    <row r="21" spans="1:19">
      <c r="A21" s="514"/>
      <c r="B21" s="191" t="s">
        <v>115</v>
      </c>
      <c r="C21" s="192">
        <f>100*A2/15*0.75</f>
        <v>0</v>
      </c>
      <c r="D21" s="192">
        <f>100*A2/15*0.5</f>
        <v>0</v>
      </c>
      <c r="E21" s="192">
        <f>100*A2/15*0.25</f>
        <v>0</v>
      </c>
      <c r="F21" s="193">
        <f>100/15*A2*0</f>
        <v>0</v>
      </c>
      <c r="G21" s="185"/>
      <c r="H21" s="185"/>
      <c r="I21" s="185"/>
      <c r="J21" s="185"/>
      <c r="K21" s="185"/>
      <c r="L21" s="186"/>
    </row>
    <row r="22" spans="1:19">
      <c r="A22" s="514"/>
      <c r="B22" s="218" t="s">
        <v>117</v>
      </c>
      <c r="C22" s="194">
        <f>100*A2/13.5*0.25</f>
        <v>0</v>
      </c>
      <c r="D22" s="194">
        <f>100*A2/13.5*0.5</f>
        <v>0</v>
      </c>
      <c r="E22" s="194">
        <f>100*A2/13.5*0.75</f>
        <v>0</v>
      </c>
      <c r="F22" s="195">
        <f>100*A2/13.5*1</f>
        <v>0</v>
      </c>
      <c r="G22" s="185"/>
      <c r="H22" s="185"/>
      <c r="I22" s="185"/>
      <c r="J22" s="185"/>
      <c r="K22" s="185"/>
      <c r="L22" s="186"/>
      <c r="S22" t="s">
        <v>76</v>
      </c>
    </row>
    <row r="23" spans="1:19" ht="15.75" thickBot="1">
      <c r="A23" s="515"/>
      <c r="B23" s="196" t="s">
        <v>73</v>
      </c>
      <c r="C23" s="197">
        <f>C22*5.3/100</f>
        <v>0</v>
      </c>
      <c r="D23" s="197">
        <f>D22*5.3/100</f>
        <v>0</v>
      </c>
      <c r="E23" s="197">
        <f>E22*5.3/100</f>
        <v>0</v>
      </c>
      <c r="F23" s="198">
        <f>F22*5.3/100</f>
        <v>0</v>
      </c>
      <c r="G23" s="185"/>
      <c r="H23" s="185"/>
      <c r="I23" s="185"/>
      <c r="J23" s="185"/>
      <c r="K23" s="185"/>
      <c r="L23" s="186"/>
    </row>
    <row r="24" spans="1:19">
      <c r="A24" s="187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6"/>
    </row>
    <row r="25" spans="1:19" ht="15.75" thickBot="1">
      <c r="A25" s="202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4"/>
    </row>
    <row r="28" spans="1:19">
      <c r="B28" s="528" t="s">
        <v>92</v>
      </c>
      <c r="C28" s="528"/>
      <c r="D28" s="528"/>
      <c r="E28" s="528"/>
      <c r="F28" s="528"/>
      <c r="G28" s="528"/>
      <c r="H28" s="528"/>
    </row>
    <row r="29" spans="1:19">
      <c r="B29" s="529" t="s">
        <v>91</v>
      </c>
      <c r="C29" s="529"/>
      <c r="D29" s="529"/>
      <c r="E29" s="529"/>
      <c r="F29" s="529"/>
      <c r="G29" s="529"/>
      <c r="H29" s="529"/>
    </row>
  </sheetData>
  <sheetProtection password="C0A5" sheet="1" objects="1" scenarios="1"/>
  <mergeCells count="10">
    <mergeCell ref="A19:A23"/>
    <mergeCell ref="B19:F19"/>
    <mergeCell ref="B28:H28"/>
    <mergeCell ref="B29:H29"/>
    <mergeCell ref="A1:B1"/>
    <mergeCell ref="D1:I2"/>
    <mergeCell ref="A5:A9"/>
    <mergeCell ref="B5:L5"/>
    <mergeCell ref="A12:A16"/>
    <mergeCell ref="B12:I1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9"/>
  <sheetViews>
    <sheetView showGridLines="0" showRowColHeaders="0" zoomScale="80" zoomScaleNormal="80" workbookViewId="0">
      <selection sqref="A1:B1"/>
    </sheetView>
  </sheetViews>
  <sheetFormatPr defaultRowHeight="15"/>
  <cols>
    <col min="1" max="1" width="20.7109375" customWidth="1"/>
    <col min="2" max="2" width="27.140625" customWidth="1"/>
    <col min="13" max="13" width="4.28515625" customWidth="1"/>
  </cols>
  <sheetData>
    <row r="1" spans="1:12" ht="45" customHeight="1">
      <c r="A1" s="518" t="s">
        <v>60</v>
      </c>
      <c r="B1" s="519"/>
      <c r="C1" s="182"/>
      <c r="D1" s="520" t="s">
        <v>94</v>
      </c>
      <c r="E1" s="520"/>
      <c r="F1" s="520"/>
      <c r="G1" s="520"/>
      <c r="H1" s="520"/>
      <c r="I1" s="520"/>
      <c r="J1" s="182"/>
      <c r="K1" s="182"/>
      <c r="L1" s="183"/>
    </row>
    <row r="2" spans="1:12" ht="45" customHeight="1" thickBot="1">
      <c r="A2" s="184"/>
      <c r="B2" s="185"/>
      <c r="C2" s="185"/>
      <c r="D2" s="521"/>
      <c r="E2" s="521"/>
      <c r="F2" s="521"/>
      <c r="G2" s="521"/>
      <c r="H2" s="521"/>
      <c r="I2" s="521"/>
      <c r="J2" s="185"/>
      <c r="K2" s="185"/>
      <c r="L2" s="186"/>
    </row>
    <row r="3" spans="1:12">
      <c r="A3" s="187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6"/>
    </row>
    <row r="4" spans="1:12" ht="15.75" thickBot="1">
      <c r="A4" s="187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6"/>
    </row>
    <row r="5" spans="1:12">
      <c r="A5" s="522" t="s">
        <v>61</v>
      </c>
      <c r="B5" s="516" t="s">
        <v>62</v>
      </c>
      <c r="C5" s="516"/>
      <c r="D5" s="516"/>
      <c r="E5" s="516"/>
      <c r="F5" s="516"/>
      <c r="G5" s="516"/>
      <c r="H5" s="516"/>
      <c r="I5" s="516"/>
      <c r="J5" s="516"/>
      <c r="K5" s="516"/>
      <c r="L5" s="517"/>
    </row>
    <row r="6" spans="1:12">
      <c r="A6" s="523"/>
      <c r="B6" s="188"/>
      <c r="C6" s="189" t="s">
        <v>63</v>
      </c>
      <c r="D6" s="189" t="s">
        <v>64</v>
      </c>
      <c r="E6" s="189" t="s">
        <v>65</v>
      </c>
      <c r="F6" s="189" t="s">
        <v>66</v>
      </c>
      <c r="G6" s="189" t="s">
        <v>67</v>
      </c>
      <c r="H6" s="189" t="s">
        <v>68</v>
      </c>
      <c r="I6" s="189" t="s">
        <v>69</v>
      </c>
      <c r="J6" s="189" t="s">
        <v>70</v>
      </c>
      <c r="K6" s="189" t="s">
        <v>71</v>
      </c>
      <c r="L6" s="190" t="s">
        <v>72</v>
      </c>
    </row>
    <row r="7" spans="1:12">
      <c r="A7" s="523"/>
      <c r="B7" s="191" t="s">
        <v>116</v>
      </c>
      <c r="C7" s="192">
        <f>100*A2/15.1*0.9</f>
        <v>0</v>
      </c>
      <c r="D7" s="192">
        <f>100*A2/15.1*0.8</f>
        <v>0</v>
      </c>
      <c r="E7" s="192">
        <f>100*A2/15.1*0.7</f>
        <v>0</v>
      </c>
      <c r="F7" s="192">
        <f>100*A2/15.1*0.6</f>
        <v>0</v>
      </c>
      <c r="G7" s="192">
        <f>100*A2/15.1*0.5</f>
        <v>0</v>
      </c>
      <c r="H7" s="192">
        <f>100*A2/15.1*0.4</f>
        <v>0</v>
      </c>
      <c r="I7" s="192">
        <f>100*A2/15.1*0.3</f>
        <v>0</v>
      </c>
      <c r="J7" s="192">
        <f>100*A2/15.1*0.2</f>
        <v>0</v>
      </c>
      <c r="K7" s="192">
        <f>100*A2/15.1*0.1</f>
        <v>0</v>
      </c>
      <c r="L7" s="193">
        <f>100*A2/15.1*0</f>
        <v>0</v>
      </c>
    </row>
    <row r="8" spans="1:12">
      <c r="A8" s="523"/>
      <c r="B8" s="218" t="s">
        <v>117</v>
      </c>
      <c r="C8" s="194">
        <f>100*A2/13.5*0.1</f>
        <v>0</v>
      </c>
      <c r="D8" s="194">
        <f>100*A2/13.5*0.2</f>
        <v>0</v>
      </c>
      <c r="E8" s="194">
        <f>100*A2/13.5*0.3</f>
        <v>0</v>
      </c>
      <c r="F8" s="194">
        <f>100*A2/13.5*0.4</f>
        <v>0</v>
      </c>
      <c r="G8" s="194">
        <f>100*A2/13.5*0.5</f>
        <v>0</v>
      </c>
      <c r="H8" s="194">
        <f>100*A2/13.5*0.6</f>
        <v>0</v>
      </c>
      <c r="I8" s="194">
        <f>100*A2/13.5*0.7</f>
        <v>0</v>
      </c>
      <c r="J8" s="194">
        <f>100*A2/13.5*0.8</f>
        <v>0</v>
      </c>
      <c r="K8" s="194">
        <f>100*A2/13.5*0.9</f>
        <v>0</v>
      </c>
      <c r="L8" s="195">
        <f>100*A2/13.5*1</f>
        <v>0</v>
      </c>
    </row>
    <row r="9" spans="1:12" ht="15.75" thickBot="1">
      <c r="A9" s="524"/>
      <c r="B9" s="196" t="s">
        <v>73</v>
      </c>
      <c r="C9" s="197">
        <f t="shared" ref="C9:L9" si="0">C8*5.3/100</f>
        <v>0</v>
      </c>
      <c r="D9" s="197">
        <f t="shared" si="0"/>
        <v>0</v>
      </c>
      <c r="E9" s="197">
        <f t="shared" si="0"/>
        <v>0</v>
      </c>
      <c r="F9" s="197">
        <f t="shared" si="0"/>
        <v>0</v>
      </c>
      <c r="G9" s="197">
        <f t="shared" si="0"/>
        <v>0</v>
      </c>
      <c r="H9" s="197">
        <f t="shared" si="0"/>
        <v>0</v>
      </c>
      <c r="I9" s="197">
        <f t="shared" si="0"/>
        <v>0</v>
      </c>
      <c r="J9" s="197">
        <f t="shared" si="0"/>
        <v>0</v>
      </c>
      <c r="K9" s="197">
        <f t="shared" si="0"/>
        <v>0</v>
      </c>
      <c r="L9" s="198">
        <f t="shared" si="0"/>
        <v>0</v>
      </c>
    </row>
    <row r="10" spans="1:12">
      <c r="A10" s="187"/>
      <c r="B10" s="199"/>
      <c r="C10" s="200"/>
      <c r="D10" s="200"/>
      <c r="E10" s="200"/>
      <c r="F10" s="200"/>
      <c r="G10" s="185"/>
      <c r="H10" s="185"/>
      <c r="I10" s="185"/>
      <c r="J10" s="185"/>
      <c r="K10" s="185"/>
      <c r="L10" s="186"/>
    </row>
    <row r="11" spans="1:12" ht="15.75" thickBot="1">
      <c r="A11" s="187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>
      <c r="A12" s="525" t="s">
        <v>74</v>
      </c>
      <c r="B12" s="516" t="s">
        <v>75</v>
      </c>
      <c r="C12" s="516"/>
      <c r="D12" s="516"/>
      <c r="E12" s="516"/>
      <c r="F12" s="516"/>
      <c r="G12" s="516"/>
      <c r="H12" s="516"/>
      <c r="I12" s="517"/>
      <c r="J12" s="185"/>
      <c r="K12" s="185"/>
      <c r="L12" s="186"/>
    </row>
    <row r="13" spans="1:12">
      <c r="A13" s="526"/>
      <c r="B13" s="188"/>
      <c r="C13" s="189" t="s">
        <v>63</v>
      </c>
      <c r="D13" s="189" t="s">
        <v>64</v>
      </c>
      <c r="E13" s="189" t="s">
        <v>65</v>
      </c>
      <c r="F13" s="189" t="s">
        <v>66</v>
      </c>
      <c r="G13" s="189" t="s">
        <v>67</v>
      </c>
      <c r="H13" s="189" t="s">
        <v>68</v>
      </c>
      <c r="I13" s="190" t="s">
        <v>69</v>
      </c>
      <c r="J13" s="185"/>
      <c r="K13" s="185"/>
      <c r="L13" s="186"/>
    </row>
    <row r="14" spans="1:12">
      <c r="A14" s="526"/>
      <c r="B14" s="191" t="s">
        <v>116</v>
      </c>
      <c r="C14" s="192">
        <f>100*A2/15.1*0.857</f>
        <v>0</v>
      </c>
      <c r="D14" s="192">
        <f>100*A2/15.1*0.714</f>
        <v>0</v>
      </c>
      <c r="E14" s="192">
        <f>100*A2/15.1*0.571</f>
        <v>0</v>
      </c>
      <c r="F14" s="192">
        <f>100*A2/15.1*0.429</f>
        <v>0</v>
      </c>
      <c r="G14" s="192">
        <f>100*A2/15.1*0.286</f>
        <v>0</v>
      </c>
      <c r="H14" s="192">
        <f>100*A2/15.1*0.143</f>
        <v>0</v>
      </c>
      <c r="I14" s="193">
        <f>100*A2/15.1*0</f>
        <v>0</v>
      </c>
      <c r="J14" s="185"/>
      <c r="K14" s="185"/>
      <c r="L14" s="186"/>
    </row>
    <row r="15" spans="1:12">
      <c r="A15" s="526"/>
      <c r="B15" s="218" t="s">
        <v>117</v>
      </c>
      <c r="C15" s="194">
        <f>100*A2/13.5*0.143</f>
        <v>0</v>
      </c>
      <c r="D15" s="194">
        <f>100*A2/13.5*0.286</f>
        <v>0</v>
      </c>
      <c r="E15" s="194">
        <f>100*A2/13.5*0.429</f>
        <v>0</v>
      </c>
      <c r="F15" s="194">
        <f>100*A2/13.5*0.571</f>
        <v>0</v>
      </c>
      <c r="G15" s="194">
        <f>100*A2/13.5*0.714</f>
        <v>0</v>
      </c>
      <c r="H15" s="194">
        <f>100*A2/13.5*0.857</f>
        <v>0</v>
      </c>
      <c r="I15" s="195">
        <f>100*A2/13.5*1</f>
        <v>0</v>
      </c>
      <c r="J15" s="185"/>
      <c r="K15" s="185"/>
      <c r="L15" s="186"/>
    </row>
    <row r="16" spans="1:12" ht="15.75" thickBot="1">
      <c r="A16" s="527"/>
      <c r="B16" s="196" t="s">
        <v>73</v>
      </c>
      <c r="C16" s="197">
        <f t="shared" ref="C16:I16" si="1">C15*5.3/100</f>
        <v>0</v>
      </c>
      <c r="D16" s="197">
        <f t="shared" si="1"/>
        <v>0</v>
      </c>
      <c r="E16" s="197">
        <f t="shared" si="1"/>
        <v>0</v>
      </c>
      <c r="F16" s="197">
        <f t="shared" si="1"/>
        <v>0</v>
      </c>
      <c r="G16" s="197">
        <f t="shared" si="1"/>
        <v>0</v>
      </c>
      <c r="H16" s="197">
        <f t="shared" si="1"/>
        <v>0</v>
      </c>
      <c r="I16" s="198">
        <f t="shared" si="1"/>
        <v>0</v>
      </c>
      <c r="J16" s="199" t="s">
        <v>76</v>
      </c>
      <c r="K16" s="185"/>
      <c r="L16" s="186"/>
    </row>
    <row r="17" spans="1:15">
      <c r="A17" s="187"/>
      <c r="B17" s="199"/>
      <c r="C17" s="201"/>
      <c r="D17" s="201"/>
      <c r="E17" s="201"/>
      <c r="F17" s="201"/>
      <c r="G17" s="201"/>
      <c r="H17" s="201"/>
      <c r="I17" s="201"/>
      <c r="J17" s="185"/>
      <c r="K17" s="185"/>
      <c r="L17" s="186"/>
    </row>
    <row r="18" spans="1:15" ht="15.75" thickBot="1">
      <c r="A18" s="187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6"/>
    </row>
    <row r="19" spans="1:15">
      <c r="A19" s="513" t="s">
        <v>77</v>
      </c>
      <c r="B19" s="516" t="s">
        <v>78</v>
      </c>
      <c r="C19" s="516"/>
      <c r="D19" s="516"/>
      <c r="E19" s="516"/>
      <c r="F19" s="517"/>
      <c r="G19" s="185"/>
      <c r="H19" s="185"/>
      <c r="I19" s="185"/>
      <c r="J19" s="185"/>
      <c r="K19" s="185"/>
      <c r="L19" s="186"/>
    </row>
    <row r="20" spans="1:15">
      <c r="A20" s="514"/>
      <c r="B20" s="188"/>
      <c r="C20" s="189" t="s">
        <v>63</v>
      </c>
      <c r="D20" s="189" t="s">
        <v>64</v>
      </c>
      <c r="E20" s="189" t="s">
        <v>65</v>
      </c>
      <c r="F20" s="190" t="s">
        <v>66</v>
      </c>
      <c r="G20" s="185"/>
      <c r="H20" s="185"/>
      <c r="I20" s="185"/>
      <c r="J20" s="185"/>
      <c r="K20" s="185"/>
      <c r="L20" s="186"/>
    </row>
    <row r="21" spans="1:15">
      <c r="A21" s="514"/>
      <c r="B21" s="191" t="s">
        <v>116</v>
      </c>
      <c r="C21" s="192">
        <f>100*A2/15.1*0.75</f>
        <v>0</v>
      </c>
      <c r="D21" s="192">
        <f>100*A2/15.1*0.5</f>
        <v>0</v>
      </c>
      <c r="E21" s="192">
        <f>100*A2/15.1*0.25</f>
        <v>0</v>
      </c>
      <c r="F21" s="193">
        <f>100/15.1*A2*0</f>
        <v>0</v>
      </c>
      <c r="G21" s="185"/>
      <c r="H21" s="185"/>
      <c r="I21" s="185"/>
      <c r="J21" s="185"/>
      <c r="K21" s="185"/>
      <c r="L21" s="186"/>
    </row>
    <row r="22" spans="1:15">
      <c r="A22" s="514"/>
      <c r="B22" s="218" t="s">
        <v>117</v>
      </c>
      <c r="C22" s="194">
        <f>100*A2/13.5*0.25</f>
        <v>0</v>
      </c>
      <c r="D22" s="194">
        <f>100*A2/13.5*0.5</f>
        <v>0</v>
      </c>
      <c r="E22" s="194">
        <f>100*A2/13.5*0.75</f>
        <v>0</v>
      </c>
      <c r="F22" s="195">
        <f>100*A2/13.5*1</f>
        <v>0</v>
      </c>
      <c r="G22" s="185"/>
      <c r="H22" s="185"/>
      <c r="I22" s="185"/>
      <c r="J22" s="185"/>
      <c r="K22" s="185"/>
      <c r="L22" s="186"/>
    </row>
    <row r="23" spans="1:15" ht="15.75" thickBot="1">
      <c r="A23" s="515"/>
      <c r="B23" s="196" t="s">
        <v>73</v>
      </c>
      <c r="C23" s="197">
        <f>C22*5.3/100</f>
        <v>0</v>
      </c>
      <c r="D23" s="197">
        <f>D22*5.3/100</f>
        <v>0</v>
      </c>
      <c r="E23" s="197">
        <f>E22*5.3/100</f>
        <v>0</v>
      </c>
      <c r="F23" s="198">
        <f>F22*5.3/100</f>
        <v>0</v>
      </c>
      <c r="G23" s="185"/>
      <c r="H23" s="185"/>
      <c r="I23" s="185"/>
      <c r="J23" s="185"/>
      <c r="K23" s="185"/>
      <c r="L23" s="186"/>
    </row>
    <row r="24" spans="1:15">
      <c r="A24" s="187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6"/>
    </row>
    <row r="25" spans="1:15" ht="15.75" thickBot="1">
      <c r="A25" s="202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4"/>
    </row>
    <row r="28" spans="1:15">
      <c r="B28" s="528" t="s">
        <v>90</v>
      </c>
      <c r="C28" s="528"/>
      <c r="D28" s="528"/>
      <c r="E28" s="528"/>
      <c r="F28" s="528"/>
      <c r="G28" s="528"/>
      <c r="H28" s="528"/>
    </row>
    <row r="29" spans="1:15">
      <c r="B29" s="529" t="s">
        <v>89</v>
      </c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</row>
  </sheetData>
  <sheetProtection password="C0A5" sheet="1" objects="1" scenarios="1"/>
  <mergeCells count="10">
    <mergeCell ref="A19:A23"/>
    <mergeCell ref="B19:F19"/>
    <mergeCell ref="B28:H28"/>
    <mergeCell ref="B29:O29"/>
    <mergeCell ref="A1:B1"/>
    <mergeCell ref="D1:I2"/>
    <mergeCell ref="A5:A9"/>
    <mergeCell ref="B5:L5"/>
    <mergeCell ref="A12:A16"/>
    <mergeCell ref="B12:I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Home</vt:lpstr>
      <vt:lpstr>GA-1 Anamix Early Years</vt:lpstr>
      <vt:lpstr>GlutarAde Junior</vt:lpstr>
      <vt:lpstr>GlutarAde Essential</vt:lpstr>
      <vt:lpstr>Product Range</vt:lpstr>
      <vt:lpstr>Analog to Anamix EY</vt:lpstr>
      <vt:lpstr>Anamix EY to Essential</vt:lpstr>
      <vt:lpstr>Abbott</vt:lpstr>
      <vt:lpstr>MJ</vt:lpstr>
    </vt:vector>
  </TitlesOfParts>
  <Company>The Dannon Company,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Leuffgen Linda</dc:creator>
  <cp:lastModifiedBy>Linda  Leuffgen</cp:lastModifiedBy>
  <dcterms:created xsi:type="dcterms:W3CDTF">2015-04-15T20:03:11Z</dcterms:created>
  <dcterms:modified xsi:type="dcterms:W3CDTF">2015-08-04T15:14:09Z</dcterms:modified>
</cp:coreProperties>
</file>