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17" documentId="8_{DE6950C2-EA8F-40CC-B568-C1961FD0F4D3}" xr6:coauthVersionLast="47" xr6:coauthVersionMax="47" xr10:uidLastSave="{74EF3724-AEE2-4874-AA32-2F0106AA3804}"/>
  <bookViews>
    <workbookView xWindow="-110" yWindow="-110" windowWidth="19420" windowHeight="10560" tabRatio="832" xr2:uid="{00000000-000D-0000-FFFF-FFFF00000000}"/>
  </bookViews>
  <sheets>
    <sheet name="Home" sheetId="1" r:id="rId1"/>
    <sheet name="DRIs GA-1 Anamix Early Yrs" sheetId="2" r:id="rId2"/>
    <sheet name="DRIs GlutarAde Junior" sheetId="3" r:id="rId3"/>
    <sheet name="DRIs GlutarAde Essential" sheetId="13" r:id="rId4"/>
    <sheet name="GA-1 EY to GlutarAde Essential" sheetId="15" r:id="rId5"/>
    <sheet name="Abbott Glutarex-1 to GA-1 EY" sheetId="11" r:id="rId6"/>
    <sheet name="Abbott Glutarex-1 to Essential " sheetId="16" r:id="rId7"/>
    <sheet name="GA to GA-1 EY" sheetId="17" r:id="rId8"/>
    <sheet name="GA to Essential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8" l="1"/>
  <c r="E24" i="18"/>
  <c r="D24" i="18"/>
  <c r="C24" i="18"/>
  <c r="I16" i="18"/>
  <c r="H16" i="18"/>
  <c r="G16" i="18"/>
  <c r="F16" i="18"/>
  <c r="E16" i="18"/>
  <c r="D16" i="18"/>
  <c r="C16" i="18"/>
  <c r="L8" i="18"/>
  <c r="K8" i="18"/>
  <c r="J8" i="18"/>
  <c r="I8" i="18"/>
  <c r="H8" i="18"/>
  <c r="G8" i="18"/>
  <c r="F8" i="18"/>
  <c r="E8" i="18"/>
  <c r="D8" i="18"/>
  <c r="C8" i="18"/>
  <c r="F23" i="18"/>
  <c r="F25" i="18" s="1"/>
  <c r="E23" i="18"/>
  <c r="E25" i="18" s="1"/>
  <c r="D23" i="18"/>
  <c r="D25" i="18" s="1"/>
  <c r="C23" i="18"/>
  <c r="I15" i="18"/>
  <c r="H15" i="18"/>
  <c r="G15" i="18"/>
  <c r="F15" i="18"/>
  <c r="E15" i="18"/>
  <c r="E17" i="18" s="1"/>
  <c r="D15" i="18"/>
  <c r="D17" i="18" s="1"/>
  <c r="C15" i="18"/>
  <c r="C17" i="18" s="1"/>
  <c r="L7" i="18"/>
  <c r="K7" i="18"/>
  <c r="J7" i="18"/>
  <c r="I7" i="18"/>
  <c r="H7" i="18"/>
  <c r="G7" i="18"/>
  <c r="G9" i="18" s="1"/>
  <c r="F7" i="18"/>
  <c r="F9" i="18" s="1"/>
  <c r="E7" i="18"/>
  <c r="E9" i="18" s="1"/>
  <c r="D7" i="18"/>
  <c r="C7" i="18"/>
  <c r="F23" i="17"/>
  <c r="E23" i="17"/>
  <c r="D23" i="17"/>
  <c r="C23" i="17"/>
  <c r="L8" i="17"/>
  <c r="L10" i="17" s="1"/>
  <c r="K8" i="17"/>
  <c r="K10" i="17" s="1"/>
  <c r="J8" i="17"/>
  <c r="J10" i="17" s="1"/>
  <c r="I8" i="17"/>
  <c r="I10" i="17" s="1"/>
  <c r="H8" i="17"/>
  <c r="H10" i="17" s="1"/>
  <c r="G8" i="17"/>
  <c r="G10" i="17" s="1"/>
  <c r="F8" i="17"/>
  <c r="F10" i="17" s="1"/>
  <c r="E8" i="17"/>
  <c r="E10" i="17" s="1"/>
  <c r="D8" i="17"/>
  <c r="D10" i="17" s="1"/>
  <c r="C8" i="17"/>
  <c r="C10" i="17" s="1"/>
  <c r="L7" i="17"/>
  <c r="K7" i="17"/>
  <c r="J7" i="17"/>
  <c r="J9" i="17" s="1"/>
  <c r="I7" i="17"/>
  <c r="I9" i="17" s="1"/>
  <c r="H7" i="17"/>
  <c r="H9" i="17" s="1"/>
  <c r="G7" i="17"/>
  <c r="G9" i="17" s="1"/>
  <c r="F7" i="17"/>
  <c r="F9" i="17" s="1"/>
  <c r="E7" i="17"/>
  <c r="D7" i="17"/>
  <c r="C7" i="17"/>
  <c r="F24" i="16"/>
  <c r="E24" i="16"/>
  <c r="D24" i="16"/>
  <c r="C24" i="16"/>
  <c r="I16" i="16"/>
  <c r="H16" i="16"/>
  <c r="G16" i="16"/>
  <c r="F16" i="16"/>
  <c r="E16" i="16"/>
  <c r="D16" i="16"/>
  <c r="C16" i="16"/>
  <c r="L8" i="16"/>
  <c r="L10" i="16" s="1"/>
  <c r="K8" i="16"/>
  <c r="K10" i="16" s="1"/>
  <c r="J8" i="16"/>
  <c r="I8" i="16"/>
  <c r="I10" i="16" s="1"/>
  <c r="H8" i="16"/>
  <c r="H10" i="16" s="1"/>
  <c r="G8" i="16"/>
  <c r="G10" i="16" s="1"/>
  <c r="F8" i="16"/>
  <c r="F10" i="16" s="1"/>
  <c r="E8" i="16"/>
  <c r="E10" i="16" s="1"/>
  <c r="D8" i="16"/>
  <c r="D10" i="16" s="1"/>
  <c r="C8" i="16"/>
  <c r="C10" i="16" s="1"/>
  <c r="J10" i="16"/>
  <c r="L7" i="16"/>
  <c r="K7" i="16"/>
  <c r="J7" i="16"/>
  <c r="I7" i="16"/>
  <c r="I9" i="16" s="1"/>
  <c r="H7" i="16"/>
  <c r="H9" i="16" s="1"/>
  <c r="G7" i="16"/>
  <c r="G9" i="16" s="1"/>
  <c r="F7" i="16"/>
  <c r="E7" i="16"/>
  <c r="D7" i="16"/>
  <c r="C7" i="16"/>
  <c r="J9" i="16" l="1"/>
  <c r="K9" i="17"/>
  <c r="C9" i="17"/>
  <c r="K9" i="16"/>
  <c r="D9" i="17"/>
  <c r="L9" i="17"/>
  <c r="E9" i="17"/>
  <c r="J9" i="18"/>
  <c r="G17" i="18"/>
  <c r="H17" i="18"/>
  <c r="I9" i="18"/>
  <c r="H9" i="18"/>
  <c r="F17" i="18"/>
  <c r="C9" i="18"/>
  <c r="K9" i="18"/>
  <c r="I17" i="18"/>
  <c r="D9" i="18"/>
  <c r="L9" i="18"/>
  <c r="C25" i="18"/>
  <c r="D9" i="16"/>
  <c r="L9" i="16"/>
  <c r="E9" i="16"/>
  <c r="F9" i="16"/>
  <c r="F16" i="15"/>
  <c r="D16" i="15"/>
  <c r="G16" i="15"/>
  <c r="E16" i="15"/>
  <c r="C16" i="15"/>
  <c r="C18" i="15" s="1"/>
  <c r="C8" i="15"/>
  <c r="F15" i="15"/>
  <c r="E15" i="15"/>
  <c r="D15" i="15"/>
  <c r="D17" i="15" s="1"/>
  <c r="C15" i="15"/>
  <c r="L8" i="15"/>
  <c r="K8" i="15"/>
  <c r="J8" i="15"/>
  <c r="I8" i="15"/>
  <c r="H8" i="15"/>
  <c r="G8" i="15"/>
  <c r="F8" i="15"/>
  <c r="E8" i="15"/>
  <c r="D8" i="15"/>
  <c r="F17" i="15" l="1"/>
  <c r="E18" i="15"/>
  <c r="C17" i="15"/>
  <c r="D18" i="15"/>
  <c r="E17" i="15"/>
  <c r="F18" i="15"/>
  <c r="L7" i="15"/>
  <c r="K7" i="15"/>
  <c r="J7" i="15"/>
  <c r="I7" i="15"/>
  <c r="H7" i="15"/>
  <c r="H10" i="15" l="1"/>
  <c r="H9" i="15"/>
  <c r="I10" i="15"/>
  <c r="I9" i="15"/>
  <c r="J10" i="15"/>
  <c r="J9" i="15"/>
  <c r="K10" i="15"/>
  <c r="K9" i="15"/>
  <c r="L10" i="15"/>
  <c r="L9" i="15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29" i="13"/>
  <c r="B27" i="13"/>
  <c r="B28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3" i="13"/>
  <c r="B12" i="13"/>
  <c r="B11" i="13"/>
  <c r="B10" i="13"/>
  <c r="B9" i="13"/>
  <c r="B8" i="13"/>
  <c r="B5" i="13"/>
  <c r="B6" i="13"/>
  <c r="B44" i="3"/>
  <c r="B10" i="3"/>
  <c r="B11" i="3"/>
  <c r="B9" i="3"/>
  <c r="B4" i="3"/>
  <c r="B42" i="3" s="1"/>
  <c r="B19" i="3" l="1"/>
  <c r="B27" i="3"/>
  <c r="B36" i="3"/>
  <c r="B22" i="3"/>
  <c r="B40" i="3"/>
  <c r="B31" i="3"/>
  <c r="B8" i="3"/>
  <c r="B5" i="3"/>
  <c r="B20" i="3"/>
  <c r="B28" i="3"/>
  <c r="B37" i="3"/>
  <c r="B45" i="3"/>
  <c r="B21" i="3"/>
  <c r="B29" i="3"/>
  <c r="B38" i="3"/>
  <c r="B46" i="3"/>
  <c r="B30" i="3"/>
  <c r="B39" i="3"/>
  <c r="B12" i="3"/>
  <c r="B23" i="3"/>
  <c r="B24" i="3"/>
  <c r="B33" i="3"/>
  <c r="B41" i="3"/>
  <c r="B17" i="3"/>
  <c r="B25" i="3"/>
  <c r="B34" i="3"/>
  <c r="B18" i="3"/>
  <c r="B26" i="3"/>
  <c r="B35" i="3"/>
  <c r="B43" i="3"/>
  <c r="B6" i="3"/>
  <c r="F26" i="18" l="1"/>
  <c r="E26" i="18"/>
  <c r="D26" i="18"/>
  <c r="C26" i="18"/>
  <c r="I18" i="18"/>
  <c r="G18" i="18"/>
  <c r="F18" i="18"/>
  <c r="E18" i="18"/>
  <c r="C18" i="18"/>
  <c r="L10" i="18"/>
  <c r="K10" i="18"/>
  <c r="J10" i="18"/>
  <c r="I10" i="18"/>
  <c r="H10" i="18"/>
  <c r="G10" i="18"/>
  <c r="F10" i="18"/>
  <c r="E10" i="18"/>
  <c r="D10" i="18"/>
  <c r="C10" i="18"/>
  <c r="I15" i="17"/>
  <c r="H15" i="17"/>
  <c r="G15" i="17"/>
  <c r="G17" i="17" s="1"/>
  <c r="F15" i="17"/>
  <c r="F17" i="17" s="1"/>
  <c r="E15" i="17"/>
  <c r="E17" i="17" s="1"/>
  <c r="D15" i="17"/>
  <c r="C15" i="17"/>
  <c r="F24" i="17"/>
  <c r="E24" i="17"/>
  <c r="D24" i="17"/>
  <c r="C24" i="17"/>
  <c r="I16" i="17"/>
  <c r="I18" i="17" s="1"/>
  <c r="H16" i="17"/>
  <c r="H18" i="17" s="1"/>
  <c r="G16" i="17"/>
  <c r="G18" i="17" s="1"/>
  <c r="F16" i="17"/>
  <c r="F18" i="17" s="1"/>
  <c r="E16" i="17"/>
  <c r="E18" i="17" s="1"/>
  <c r="D16" i="17"/>
  <c r="D18" i="17" s="1"/>
  <c r="C16" i="17"/>
  <c r="C18" i="17" s="1"/>
  <c r="F26" i="16"/>
  <c r="E26" i="16"/>
  <c r="D26" i="16"/>
  <c r="C26" i="16"/>
  <c r="I18" i="16"/>
  <c r="H18" i="16"/>
  <c r="G18" i="16"/>
  <c r="F18" i="16"/>
  <c r="E18" i="16"/>
  <c r="D18" i="16"/>
  <c r="C18" i="16"/>
  <c r="F23" i="16"/>
  <c r="F25" i="16" s="1"/>
  <c r="E23" i="16"/>
  <c r="E25" i="16" s="1"/>
  <c r="D23" i="16"/>
  <c r="D25" i="16" s="1"/>
  <c r="C23" i="16"/>
  <c r="C25" i="16" s="1"/>
  <c r="I15" i="16"/>
  <c r="I17" i="16" s="1"/>
  <c r="H15" i="16"/>
  <c r="H17" i="16" s="1"/>
  <c r="G15" i="16"/>
  <c r="G17" i="16" s="1"/>
  <c r="F15" i="16"/>
  <c r="F17" i="16" s="1"/>
  <c r="E15" i="16"/>
  <c r="E17" i="16" s="1"/>
  <c r="D15" i="16"/>
  <c r="D17" i="16" s="1"/>
  <c r="C15" i="16"/>
  <c r="C17" i="16" s="1"/>
  <c r="H17" i="17" l="1"/>
  <c r="C26" i="17"/>
  <c r="C25" i="17"/>
  <c r="D26" i="17"/>
  <c r="D25" i="17"/>
  <c r="E26" i="17"/>
  <c r="E25" i="17"/>
  <c r="I17" i="17"/>
  <c r="F26" i="17"/>
  <c r="F25" i="17"/>
  <c r="C17" i="17"/>
  <c r="D17" i="17"/>
  <c r="D18" i="18"/>
  <c r="H18" i="18"/>
  <c r="G15" i="15"/>
  <c r="G7" i="15"/>
  <c r="F7" i="15"/>
  <c r="E7" i="15"/>
  <c r="D7" i="15"/>
  <c r="C7" i="15"/>
  <c r="H37" i="13"/>
  <c r="B7" i="13"/>
  <c r="D7" i="13" s="1"/>
  <c r="C10" i="15" l="1"/>
  <c r="C9" i="15"/>
  <c r="D10" i="15"/>
  <c r="D9" i="15"/>
  <c r="E10" i="15"/>
  <c r="E9" i="15"/>
  <c r="F10" i="15"/>
  <c r="F9" i="15"/>
  <c r="G10" i="15"/>
  <c r="G9" i="15"/>
  <c r="G18" i="15"/>
  <c r="G17" i="15"/>
  <c r="J15" i="13"/>
  <c r="H41" i="13"/>
  <c r="H20" i="13"/>
  <c r="H24" i="13"/>
  <c r="F7" i="13"/>
  <c r="H28" i="13"/>
  <c r="H7" i="13"/>
  <c r="H13" i="13"/>
  <c r="H16" i="13"/>
  <c r="H33" i="13"/>
  <c r="D12" i="13"/>
  <c r="J44" i="13"/>
  <c r="H44" i="13"/>
  <c r="D44" i="13"/>
  <c r="F44" i="13"/>
  <c r="F15" i="13"/>
  <c r="D37" i="13"/>
  <c r="D41" i="13"/>
  <c r="J37" i="13"/>
  <c r="J41" i="13"/>
  <c r="J7" i="13"/>
  <c r="D13" i="13"/>
  <c r="H15" i="13"/>
  <c r="F28" i="13"/>
  <c r="F37" i="13"/>
  <c r="F41" i="13" l="1"/>
  <c r="F20" i="13"/>
  <c r="J13" i="13"/>
  <c r="D15" i="13"/>
  <c r="F12" i="13"/>
  <c r="H12" i="13"/>
  <c r="J12" i="13"/>
  <c r="D24" i="13"/>
  <c r="D20" i="13"/>
  <c r="F13" i="13"/>
  <c r="D16" i="13"/>
  <c r="J24" i="13"/>
  <c r="D33" i="13"/>
  <c r="J33" i="13"/>
  <c r="J20" i="13"/>
  <c r="F24" i="13"/>
  <c r="J16" i="13"/>
  <c r="D28" i="13"/>
  <c r="F33" i="13"/>
  <c r="F16" i="13"/>
  <c r="J28" i="13"/>
  <c r="D43" i="13"/>
  <c r="J43" i="13"/>
  <c r="H43" i="13"/>
  <c r="F43" i="13"/>
  <c r="D18" i="13"/>
  <c r="J18" i="13"/>
  <c r="F18" i="13"/>
  <c r="H18" i="13"/>
  <c r="J36" i="13"/>
  <c r="H36" i="13"/>
  <c r="F36" i="13"/>
  <c r="D36" i="13"/>
  <c r="J19" i="13"/>
  <c r="D19" i="13"/>
  <c r="H19" i="13"/>
  <c r="F19" i="13"/>
  <c r="F42" i="13"/>
  <c r="D42" i="13"/>
  <c r="H42" i="13"/>
  <c r="J42" i="13"/>
  <c r="F34" i="13"/>
  <c r="D34" i="13"/>
  <c r="J34" i="13"/>
  <c r="H34" i="13"/>
  <c r="F25" i="13"/>
  <c r="H25" i="13"/>
  <c r="D25" i="13"/>
  <c r="J25" i="13"/>
  <c r="F17" i="13"/>
  <c r="H17" i="13"/>
  <c r="D17" i="13"/>
  <c r="J17" i="13"/>
  <c r="J23" i="13"/>
  <c r="H23" i="13"/>
  <c r="D23" i="13"/>
  <c r="F23" i="13"/>
  <c r="D35" i="13"/>
  <c r="F35" i="13"/>
  <c r="J35" i="13"/>
  <c r="H35" i="13"/>
  <c r="D26" i="13"/>
  <c r="J26" i="13"/>
  <c r="H26" i="13"/>
  <c r="F26" i="13"/>
  <c r="J32" i="13"/>
  <c r="H32" i="13"/>
  <c r="D32" i="13"/>
  <c r="F32" i="13"/>
  <c r="D39" i="13"/>
  <c r="F39" i="13"/>
  <c r="J39" i="13"/>
  <c r="H39" i="13"/>
  <c r="D31" i="13"/>
  <c r="F31" i="13"/>
  <c r="J31" i="13"/>
  <c r="H31" i="13"/>
  <c r="D22" i="13"/>
  <c r="J22" i="13"/>
  <c r="H22" i="13"/>
  <c r="F22" i="13"/>
  <c r="J40" i="13"/>
  <c r="H40" i="13"/>
  <c r="D40" i="13"/>
  <c r="F40" i="13"/>
  <c r="J27" i="13"/>
  <c r="H27" i="13"/>
  <c r="D27" i="13"/>
  <c r="F27" i="13"/>
  <c r="F38" i="13"/>
  <c r="D38" i="13"/>
  <c r="J38" i="13"/>
  <c r="H38" i="13"/>
  <c r="F21" i="13"/>
  <c r="D21" i="13"/>
  <c r="H21" i="13"/>
  <c r="J21" i="13"/>
  <c r="F23" i="11" l="1"/>
  <c r="E23" i="11"/>
  <c r="D23" i="11"/>
  <c r="C23" i="11"/>
  <c r="C25" i="11" s="1"/>
  <c r="I15" i="11"/>
  <c r="H15" i="11"/>
  <c r="H17" i="11" s="1"/>
  <c r="G15" i="11"/>
  <c r="F15" i="11"/>
  <c r="F17" i="11" s="1"/>
  <c r="E15" i="11"/>
  <c r="D15" i="11"/>
  <c r="C15" i="11"/>
  <c r="L7" i="11"/>
  <c r="L9" i="11" s="1"/>
  <c r="K7" i="11"/>
  <c r="K9" i="11" s="1"/>
  <c r="J7" i="11"/>
  <c r="J9" i="11" s="1"/>
  <c r="I7" i="11"/>
  <c r="I9" i="11" s="1"/>
  <c r="H7" i="11"/>
  <c r="H9" i="11" s="1"/>
  <c r="G7" i="11"/>
  <c r="F7" i="11"/>
  <c r="E7" i="11"/>
  <c r="D7" i="11"/>
  <c r="D9" i="11" s="1"/>
  <c r="C7" i="11"/>
  <c r="C9" i="11" s="1"/>
  <c r="F24" i="11"/>
  <c r="F26" i="11" s="1"/>
  <c r="E24" i="11"/>
  <c r="E26" i="11" s="1"/>
  <c r="D24" i="11"/>
  <c r="D26" i="11" s="1"/>
  <c r="C24" i="11"/>
  <c r="C26" i="11" s="1"/>
  <c r="I16" i="11"/>
  <c r="I18" i="11" s="1"/>
  <c r="H16" i="11"/>
  <c r="H18" i="11" s="1"/>
  <c r="G16" i="11"/>
  <c r="G18" i="11" s="1"/>
  <c r="F16" i="11"/>
  <c r="F18" i="11" s="1"/>
  <c r="E16" i="11"/>
  <c r="E18" i="11" s="1"/>
  <c r="D16" i="11"/>
  <c r="D18" i="11" s="1"/>
  <c r="C16" i="11"/>
  <c r="C18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C8" i="11"/>
  <c r="C10" i="11" s="1"/>
  <c r="G17" i="11" l="1"/>
  <c r="I17" i="11"/>
  <c r="E9" i="11"/>
  <c r="C17" i="11"/>
  <c r="D25" i="11"/>
  <c r="F9" i="11"/>
  <c r="D17" i="11"/>
  <c r="E25" i="11"/>
  <c r="G9" i="11"/>
  <c r="E17" i="11"/>
  <c r="F25" i="11"/>
  <c r="B4" i="2"/>
  <c r="B5" i="2" l="1"/>
  <c r="B22" i="2"/>
  <c r="H22" i="2" s="1"/>
  <c r="B13" i="2"/>
  <c r="B12" i="2"/>
  <c r="B26" i="2"/>
  <c r="H26" i="2" s="1"/>
  <c r="B6" i="2"/>
  <c r="B47" i="2"/>
  <c r="H47" i="2" s="1"/>
  <c r="B46" i="2"/>
  <c r="H46" i="2" s="1"/>
  <c r="B45" i="2"/>
  <c r="H45" i="2" s="1"/>
  <c r="B44" i="2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2" i="2"/>
  <c r="B31" i="2"/>
  <c r="H31" i="2" s="1"/>
  <c r="B30" i="2"/>
  <c r="H30" i="2" s="1"/>
  <c r="B29" i="2"/>
  <c r="H29" i="2" s="1"/>
  <c r="B28" i="2"/>
  <c r="H28" i="2" s="1"/>
  <c r="B27" i="2"/>
  <c r="H27" i="2" s="1"/>
  <c r="B25" i="2"/>
  <c r="H25" i="2" s="1"/>
  <c r="B24" i="2"/>
  <c r="H24" i="2" s="1"/>
  <c r="B23" i="2"/>
  <c r="H23" i="2" s="1"/>
  <c r="B21" i="2"/>
  <c r="H21" i="2" s="1"/>
  <c r="B20" i="2"/>
  <c r="H20" i="2" s="1"/>
  <c r="B19" i="2"/>
  <c r="H19" i="2" s="1"/>
  <c r="B18" i="2"/>
  <c r="H18" i="2" s="1"/>
  <c r="B16" i="2"/>
  <c r="H16" i="2" s="1"/>
  <c r="B15" i="2"/>
  <c r="H15" i="2" s="1"/>
  <c r="B14" i="2"/>
  <c r="H14" i="2" s="1"/>
  <c r="B11" i="2"/>
  <c r="B10" i="2"/>
  <c r="B9" i="2"/>
  <c r="B8" i="2"/>
  <c r="B7" i="2"/>
  <c r="H7" i="2" s="1"/>
  <c r="D7" i="2" l="1"/>
  <c r="F7" i="2" l="1"/>
  <c r="F45" i="2"/>
  <c r="D45" i="2"/>
  <c r="F41" i="2" l="1"/>
  <c r="D41" i="2"/>
  <c r="F22" i="2"/>
  <c r="D22" i="2"/>
  <c r="D31" i="2"/>
  <c r="F31" i="2"/>
  <c r="F35" i="2"/>
  <c r="D35" i="2"/>
  <c r="F20" i="2"/>
  <c r="D20" i="2"/>
  <c r="F36" i="2"/>
  <c r="D36" i="2"/>
  <c r="D14" i="2"/>
  <c r="F14" i="2"/>
  <c r="D23" i="2"/>
  <c r="F23" i="2"/>
  <c r="F37" i="2"/>
  <c r="D37" i="2"/>
  <c r="F18" i="2"/>
  <c r="D18" i="2"/>
  <c r="D46" i="2"/>
  <c r="F46" i="2"/>
  <c r="F47" i="2"/>
  <c r="D47" i="2"/>
  <c r="F15" i="2"/>
  <c r="D15" i="2"/>
  <c r="F29" i="2"/>
  <c r="D29" i="2"/>
  <c r="D19" i="2"/>
  <c r="F19" i="2"/>
  <c r="F30" i="2"/>
  <c r="D30" i="2"/>
  <c r="D38" i="2"/>
  <c r="F38" i="2"/>
  <c r="F43" i="2"/>
  <c r="D43" i="2"/>
  <c r="F28" i="2"/>
  <c r="D28" i="2"/>
  <c r="F44" i="2"/>
  <c r="D44" i="2"/>
  <c r="D25" i="2"/>
  <c r="F25" i="2"/>
  <c r="D42" i="2"/>
  <c r="F42" i="2"/>
  <c r="F26" i="2"/>
  <c r="D26" i="2"/>
  <c r="F8" i="2"/>
  <c r="D8" i="2"/>
  <c r="D34" i="2"/>
  <c r="F34" i="2"/>
  <c r="F39" i="2"/>
  <c r="D39" i="2"/>
  <c r="F24" i="2"/>
  <c r="D24" i="2"/>
  <c r="D40" i="2"/>
  <c r="F40" i="2"/>
  <c r="D21" i="2"/>
  <c r="F21" i="2"/>
  <c r="D27" i="2"/>
  <c r="F27" i="2"/>
  <c r="B7" i="3"/>
  <c r="F7" i="3" s="1"/>
  <c r="H34" i="3" l="1"/>
  <c r="H7" i="3"/>
  <c r="F45" i="3"/>
  <c r="H25" i="3"/>
  <c r="D40" i="3"/>
  <c r="H21" i="3"/>
  <c r="D7" i="3"/>
  <c r="D27" i="3"/>
  <c r="J23" i="3"/>
  <c r="H36" i="3"/>
  <c r="J19" i="3"/>
  <c r="H29" i="3"/>
  <c r="H42" i="3"/>
  <c r="H17" i="3"/>
  <c r="H46" i="3"/>
  <c r="H12" i="3"/>
  <c r="H38" i="3"/>
  <c r="J7" i="3"/>
  <c r="F34" i="3" l="1"/>
  <c r="D34" i="3"/>
  <c r="J34" i="3"/>
  <c r="H40" i="3"/>
  <c r="H45" i="3"/>
  <c r="J45" i="3"/>
  <c r="F21" i="3"/>
  <c r="H23" i="3"/>
  <c r="D21" i="3"/>
  <c r="D45" i="3"/>
  <c r="J17" i="3"/>
  <c r="J40" i="3"/>
  <c r="F12" i="3"/>
  <c r="H27" i="3"/>
  <c r="F40" i="3"/>
  <c r="J27" i="3"/>
  <c r="F27" i="3"/>
  <c r="F42" i="3"/>
  <c r="D42" i="3"/>
  <c r="J12" i="3"/>
  <c r="J21" i="3"/>
  <c r="F38" i="3"/>
  <c r="J29" i="3"/>
  <c r="J36" i="3"/>
  <c r="H19" i="3"/>
  <c r="F46" i="3"/>
  <c r="D38" i="3"/>
  <c r="D46" i="3"/>
  <c r="J46" i="3"/>
  <c r="J38" i="3"/>
  <c r="F29" i="3"/>
  <c r="D29" i="3"/>
  <c r="D23" i="3"/>
  <c r="F23" i="3"/>
  <c r="D17" i="3"/>
  <c r="D44" i="3"/>
  <c r="F44" i="3"/>
  <c r="H44" i="3"/>
  <c r="J42" i="3"/>
  <c r="J25" i="3"/>
  <c r="J44" i="3"/>
  <c r="F25" i="3"/>
  <c r="F17" i="3"/>
  <c r="D25" i="3"/>
  <c r="D12" i="3"/>
  <c r="D19" i="3"/>
  <c r="F19" i="3"/>
  <c r="D36" i="3"/>
  <c r="F36" i="3"/>
  <c r="J41" i="3"/>
  <c r="H41" i="3"/>
  <c r="F41" i="3"/>
  <c r="D41" i="3"/>
  <c r="F39" i="3"/>
  <c r="D39" i="3"/>
  <c r="J39" i="3"/>
  <c r="H39" i="3"/>
  <c r="F26" i="3"/>
  <c r="D26" i="3"/>
  <c r="J26" i="3"/>
  <c r="H26" i="3"/>
  <c r="F13" i="3"/>
  <c r="D13" i="3"/>
  <c r="J13" i="3"/>
  <c r="H13" i="3"/>
  <c r="J37" i="3"/>
  <c r="H37" i="3"/>
  <c r="F37" i="3"/>
  <c r="D37" i="3"/>
  <c r="J20" i="3"/>
  <c r="H20" i="3"/>
  <c r="F20" i="3"/>
  <c r="D20" i="3"/>
  <c r="F43" i="3"/>
  <c r="D43" i="3"/>
  <c r="J43" i="3"/>
  <c r="H43" i="3"/>
  <c r="F30" i="3"/>
  <c r="D30" i="3"/>
  <c r="J30" i="3"/>
  <c r="H30" i="3"/>
  <c r="J33" i="3"/>
  <c r="H33" i="3"/>
  <c r="F33" i="3"/>
  <c r="D33" i="3"/>
  <c r="F18" i="3"/>
  <c r="D18" i="3"/>
  <c r="J18" i="3"/>
  <c r="H18" i="3"/>
  <c r="J24" i="3"/>
  <c r="H24" i="3"/>
  <c r="F24" i="3"/>
  <c r="D24" i="3"/>
  <c r="J28" i="3"/>
  <c r="H28" i="3"/>
  <c r="F28" i="3"/>
  <c r="D28" i="3"/>
  <c r="F35" i="3"/>
  <c r="D35" i="3"/>
  <c r="J35" i="3"/>
  <c r="H35" i="3"/>
  <c r="F22" i="3"/>
  <c r="D22" i="3"/>
  <c r="J22" i="3"/>
  <c r="H22" i="3"/>
</calcChain>
</file>

<file path=xl/sharedStrings.xml><?xml version="1.0" encoding="utf-8"?>
<sst xmlns="http://schemas.openxmlformats.org/spreadsheetml/2006/main" count="453" uniqueCount="122">
  <si>
    <t>Patient's Name:</t>
  </si>
  <si>
    <t xml:space="preserve"> </t>
  </si>
  <si>
    <t>Product, g</t>
  </si>
  <si>
    <t xml:space="preserve">Calories </t>
  </si>
  <si>
    <t>Protein Equivalent, g</t>
  </si>
  <si>
    <t>Fat, g</t>
  </si>
  <si>
    <t>Carbohydrate, g</t>
  </si>
  <si>
    <t>VITAMINS</t>
  </si>
  <si>
    <t>Vit A, mcg</t>
  </si>
  <si>
    <t>Vit D, mcg</t>
  </si>
  <si>
    <t>Vit E, mg</t>
  </si>
  <si>
    <t>Vit K, mcg</t>
  </si>
  <si>
    <t>Thiamin, mg</t>
  </si>
  <si>
    <t>Riboflavin, mg</t>
  </si>
  <si>
    <t>Vit B6, mg</t>
  </si>
  <si>
    <t>Vit B12, mcg</t>
  </si>
  <si>
    <t>Folic Acid, mcg</t>
  </si>
  <si>
    <t>Pantothenic Acid, mg</t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</si>
  <si>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</si>
  <si>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</si>
  <si>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</si>
  <si>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</si>
  <si>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</si>
  <si>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</si>
  <si>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</si>
  <si>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</si>
  <si>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</si>
  <si>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</si>
  <si>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</si>
  <si>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</si>
  <si>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</si>
  <si>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</si>
  <si>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</si>
  <si>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</si>
  <si>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</si>
  <si>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</si>
  <si>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</si>
  <si>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</si>
  <si>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</si>
  <si>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</si>
  <si>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</si>
  <si>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</si>
  <si>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</si>
  <si>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</si>
  <si>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</si>
  <si>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</si>
  <si>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</si>
  <si>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</si>
  <si>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 xml:space="preserve">  Fiber, g</t>
  </si>
  <si>
    <t>7 Step Transition</t>
  </si>
  <si>
    <t>4 Step Transition</t>
  </si>
  <si>
    <t>Calories</t>
  </si>
  <si>
    <t>MINERALS</t>
  </si>
  <si>
    <t xml:space="preserve">  Saturated Fat, g</t>
  </si>
  <si>
    <t xml:space="preserve">  Monounsaturated Fat, g</t>
  </si>
  <si>
    <t xml:space="preserve">  Polyunsaturated Fat, g</t>
  </si>
  <si>
    <t>Niacin, mg</t>
  </si>
  <si>
    <t>DRI 1-3 years</t>
  </si>
  <si>
    <t>% DRI 
0-6 months</t>
  </si>
  <si>
    <t>% DRI 
7-12 months</t>
  </si>
  <si>
    <t>% DRI 
1-3 years</t>
  </si>
  <si>
    <t>Protein equivalent RDAs are based on g protein per kg body weight using reference body weights.</t>
  </si>
  <si>
    <r>
      <rPr>
        <sz val="11"/>
        <color indexed="8"/>
        <rFont val="Calibri"/>
        <family val="2"/>
      </rPr>
      <t xml:space="preserve">DRI values presented here are adapted from the </t>
    </r>
    <r>
      <rPr>
        <i/>
        <sz val="11"/>
        <color indexed="8"/>
        <rFont val="Calibri"/>
        <family val="2"/>
      </rPr>
      <t>Dietary Reference Intakes</t>
    </r>
    <r>
      <rPr>
        <sz val="11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</si>
  <si>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11"/>
        <color indexed="8"/>
        <rFont val="Calibri"/>
        <family val="2"/>
      </rPr>
      <t>bold, italicized type</t>
    </r>
    <r>
      <rPr>
        <sz val="11"/>
        <color indexed="8"/>
        <rFont val="Calibri"/>
        <family val="2"/>
      </rPr>
      <t xml:space="preserve"> and Adequate Intakes (AIs) are values shown in</t>
    </r>
    <r>
      <rPr>
        <i/>
        <sz val="11"/>
        <color indexed="8"/>
        <rFont val="Calibri"/>
        <family val="2"/>
      </rPr>
      <t xml:space="preserve"> italicized type</t>
    </r>
    <r>
      <rPr>
        <sz val="11"/>
        <color indexed="8"/>
        <rFont val="Calibri"/>
        <family val="2"/>
      </rPr>
      <t>.</t>
    </r>
  </si>
  <si>
    <r>
      <rPr>
        <b/>
        <sz val="11"/>
        <rFont val="Calibri"/>
        <family val="2"/>
        <scheme val="minor"/>
      </rPr>
      <t>Enter the grams of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Protein Equivalents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needed in the yellow box (cell B3) and press Enter.</t>
    </r>
  </si>
  <si>
    <t xml:space="preserve">       DHA, mg</t>
  </si>
  <si>
    <t xml:space="preserve">       ARA, mg</t>
  </si>
  <si>
    <t xml:space="preserve">       Linoleic Acid, mg</t>
  </si>
  <si>
    <r>
      <t xml:space="preserve">     </t>
    </r>
    <r>
      <rPr>
        <sz val="11"/>
        <color rgb="FF000000"/>
        <rFont val="Calibri"/>
        <family val="2"/>
        <scheme val="minor"/>
      </rPr>
      <t xml:space="preserve"> Scoops (5 g each)</t>
    </r>
  </si>
  <si>
    <t xml:space="preserve">   Saturated Fat, g</t>
  </si>
  <si>
    <t xml:space="preserve">   Monounsaturated Fat, g</t>
  </si>
  <si>
    <t xml:space="preserve">   Polyunsaturated Fat, g</t>
  </si>
  <si>
    <t xml:space="preserve">   Fiber, g</t>
  </si>
  <si>
    <t xml:space="preserve">      Soluble, g</t>
  </si>
  <si>
    <t xml:space="preserve">      Insoluble, g</t>
  </si>
  <si>
    <t>DRI 
1-3 years</t>
  </si>
  <si>
    <t>DRI 
4-8 years</t>
  </si>
  <si>
    <t>% DRI 
4-8 years</t>
  </si>
  <si>
    <t>DRI 
9-13 years
(M)</t>
  </si>
  <si>
    <t>% DRI 
9-13 years 
(M)</t>
  </si>
  <si>
    <t>DRI 
9-13 years 
(F)</t>
  </si>
  <si>
    <t>% DRI 
9-13 years 
(F)</t>
  </si>
  <si>
    <t>DRI 
0-6 months</t>
  </si>
  <si>
    <t>DRI 
7-12 months</t>
  </si>
  <si>
    <t>10 Step Transition</t>
  </si>
  <si>
    <t>10 Step
Transition Guide</t>
  </si>
  <si>
    <t>4 Step 
Transition Guide</t>
  </si>
  <si>
    <r>
      <t xml:space="preserve">Type the grams of </t>
    </r>
    <r>
      <rPr>
        <b/>
        <sz val="11"/>
        <color indexed="17"/>
        <rFont val="Arial"/>
        <family val="2"/>
      </rPr>
      <t>Protein Equivalents</t>
    </r>
    <r>
      <rPr>
        <b/>
        <sz val="11"/>
        <rFont val="Arial"/>
        <family val="2"/>
      </rPr>
      <t xml:space="preserve"> needed in the YELLOW box (cell A2) and press Enter.</t>
    </r>
  </si>
  <si>
    <t>5 Step 
Transition Guide</t>
  </si>
  <si>
    <t>5 Step Transition</t>
  </si>
  <si>
    <t>10 Step 
Transition Guide</t>
  </si>
  <si>
    <t>7 Step 
Transition Guide</t>
  </si>
  <si>
    <t>Glutarex®-1 is a registered trademark of Abbott Laboratories Inc. and is not affiliated with Nutricia North America.</t>
  </si>
  <si>
    <r>
      <rPr>
        <b/>
        <sz val="18"/>
        <rFont val="Calibri"/>
        <family val="2"/>
        <scheme val="minor"/>
      </rPr>
      <t>GA-1 Anamix® Early Years DRI Calculator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For Healthcare Professionals</t>
    </r>
  </si>
  <si>
    <r>
      <t>Step-by-Step Transition from
GA-1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 to 
GlutarAde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Essential</t>
    </r>
    <r>
      <rPr>
        <sz val="16"/>
        <color theme="1"/>
        <rFont val="Arial Rounded MT Bold"/>
        <family val="2"/>
      </rPr>
      <t>!</t>
    </r>
  </si>
  <si>
    <r>
      <rPr>
        <b/>
        <sz val="20"/>
        <rFont val="Calibri"/>
        <family val="2"/>
        <scheme val="minor"/>
      </rPr>
      <t>GlutarAde® Essential DRI Calculator</t>
    </r>
    <r>
      <rPr>
        <sz val="14"/>
        <rFont val="Calibri"/>
        <family val="2"/>
        <scheme val="minor"/>
      </rPr>
      <t xml:space="preserve">
For Healthcare Professionals 
</t>
    </r>
  </si>
  <si>
    <r>
      <t>Step-by-Step Transition 
from Abbott's Glutarex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GlutarAde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Essential</t>
    </r>
  </si>
  <si>
    <r>
      <t>Step-by-Step Transition 
from Mead Johnson's GA</t>
    </r>
    <r>
      <rPr>
        <vertAlign val="superscript"/>
        <sz val="16"/>
        <color theme="1"/>
        <rFont val="Arial Rounded MT Bold"/>
        <family val="2"/>
      </rPr>
      <t>®</t>
    </r>
    <r>
      <rPr>
        <sz val="16"/>
        <color theme="1"/>
        <rFont val="Arial Rounded MT Bold"/>
        <family val="2"/>
      </rPr>
      <t xml:space="preserve"> </t>
    </r>
    <r>
      <rPr>
        <sz val="16"/>
        <color indexed="8"/>
        <rFont val="Arial Rounded MT Bold"/>
        <family val="2"/>
      </rPr>
      <t xml:space="preserve">
to Nutricia's GlutarAde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Essential</t>
    </r>
  </si>
  <si>
    <r>
      <t>Step-by-Step Transition 
from Mead Johnson's GA</t>
    </r>
    <r>
      <rPr>
        <sz val="16"/>
        <color indexed="8"/>
        <rFont val="Arial Rounded MT Bold"/>
        <family val="2"/>
      </rPr>
      <t xml:space="preserve">
to Nutricia's GA-1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</si>
  <si>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r>
      <rPr>
        <b/>
        <sz val="18"/>
        <color rgb="FF000000"/>
        <rFont val="Arial Rounded MT Bold"/>
        <family val="2"/>
      </rPr>
      <t>Welcome to the GA-1 Interactive Tool</t>
    </r>
    <r>
      <rPr>
        <sz val="12"/>
        <color indexed="8"/>
        <rFont val="Arial Rounded MT Bold"/>
        <family val="2"/>
      </rPr>
      <t xml:space="preserve">
</t>
    </r>
    <r>
      <rPr>
        <sz val="12"/>
        <color indexed="8"/>
        <rFont val="Calibri"/>
        <family val="2"/>
        <scheme val="minor"/>
      </rPr>
      <t xml:space="preserve">Our Medical Affairs team developed these worksheets to aid in transitioning your patients throughout the Nutricia product portfolio.
</t>
    </r>
    <r>
      <rPr>
        <i/>
        <sz val="12"/>
        <color indexed="8"/>
        <rFont val="Calibri"/>
        <family val="2"/>
        <scheme val="minor"/>
      </rPr>
      <t xml:space="preserve">
</t>
    </r>
    <r>
      <rPr>
        <i/>
        <sz val="12"/>
        <color indexed="36"/>
        <rFont val="Calibri"/>
        <family val="2"/>
        <scheme val="minor"/>
      </rPr>
      <t xml:space="preserve">Nutricia North America kindly requests that this calculator not be shared with anyone who is not a licensed or certified healthcare provider. </t>
    </r>
  </si>
  <si>
    <r>
      <t>Step-by-Step Transition 
from Abbott's Glutarex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GA-1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</si>
  <si>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t xml:space="preserve">   Scoops (9.8 g each)</t>
  </si>
  <si>
    <t xml:space="preserve">   Scoops (40 g each)</t>
  </si>
  <si>
    <t>Fiber, g</t>
  </si>
  <si>
    <t>GA-1 Anamix® Early Years, g</t>
  </si>
  <si>
    <t>GlutarAde® Essential, g</t>
  </si>
  <si>
    <t>Glutarex®-1 , g</t>
  </si>
  <si>
    <t xml:space="preserve"> Glutarex®-1, g</t>
  </si>
  <si>
    <t>GA, g</t>
  </si>
  <si>
    <t>Total Calories</t>
  </si>
  <si>
    <t>©2023 Nutricia North America. All Rights Reserved.</t>
  </si>
  <si>
    <t>GA-1 Anamix® Early Years is a medical food in the U.S. and a specialized formula in Canada for the dietary management of glutaric aciduria type 1 (GA-1) in infants and young children. Must be used under medical supervision.</t>
  </si>
  <si>
    <r>
      <rPr>
        <b/>
        <sz val="20"/>
        <rFont val="Calibri"/>
        <family val="2"/>
        <scheme val="minor"/>
      </rPr>
      <t>GlutarAde® Junior DRI Calculator</t>
    </r>
    <r>
      <rPr>
        <sz val="14"/>
        <rFont val="Calibri"/>
        <family val="2"/>
        <scheme val="minor"/>
      </rPr>
      <t xml:space="preserve">
For Healthcare Professionals 
</t>
    </r>
  </si>
  <si>
    <t>GlutarAde® Junior is a medical food in the U.S. and a specialized formula in Canada for the dietary management of glutaric aciduria type 1 (GA-1) and must be used under medical supervision</t>
  </si>
  <si>
    <t>GlutarAde® Essential is a medical food in the U.S. and a specialized formula in Canada for the dietary management of glutaric aciduria type 1 (GA-1) and must be used under medical supervision.</t>
  </si>
  <si>
    <t>GA-1 Anamix® Early Years and GlutarAde® Essential are medical foods in the U.S. and specialized formulas in Canada for the dietary management of glutaric aciduria type 1 (GA-1) and must be used under medical supervision.</t>
  </si>
  <si>
    <r>
      <t xml:space="preserve">
</t>
    </r>
    <r>
      <rPr>
        <sz val="8.5"/>
        <rFont val="Calibri"/>
        <family val="2"/>
        <scheme val="minor"/>
      </rPr>
      <t>©2023 Nutricia North America. All Rights Reserved.</t>
    </r>
  </si>
  <si>
    <t>GA-1 Anamix® Early Years is a medical food in the U.S. and a specialized formula in Canada for the dietary management of glutaric aciduria type 1 (GA-1) and must be used under medical supervision.</t>
  </si>
  <si>
    <t>Glutarex®-1 is a registered trademark of Abbott Laboratories Inc. and is not affiliated with Nutricia North America. https://www.abbottnutrition.com/our-products/glutarex-1. Accessed February 2023.</t>
  </si>
  <si>
    <t>GA-1 Anamix® Early Years is a medical food in the U.S. and a specialized formula in Canadafor the dietary management of glutaric aciduria type 1 (GA-1) and must be used under medical supervision.</t>
  </si>
  <si>
    <t>GA is a product of Mead Johnson &amp; Company, LLC and is not affiliated with Nutricia North America. https://www.enfamil.com/products/ga-metabolic-powder/. Accessed February 2023.</t>
  </si>
  <si>
    <t>GA is a product of Mead Johnson &amp; Company, LLC and is not affiliated with Nutricia North America.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</si>
</sst>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rial Rounded MT Bold"/>
      <family val="2"/>
    </font>
    <font>
      <sz val="12"/>
      <color indexed="8"/>
      <name val="Arial Rounded MT Bold"/>
      <family val="2"/>
    </font>
    <font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color indexed="36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indexed="17"/>
      <name val="Arial"/>
      <family val="2"/>
    </font>
    <font>
      <sz val="16"/>
      <color theme="1"/>
      <name val="Arial Rounded MT Bold"/>
      <family val="2"/>
    </font>
    <font>
      <vertAlign val="superscript"/>
      <sz val="16"/>
      <color indexed="8"/>
      <name val="Arial Rounded MT Bold"/>
      <family val="2"/>
    </font>
    <font>
      <sz val="16"/>
      <color indexed="8"/>
      <name val="Arial Rounded MT Bold"/>
      <family val="2"/>
    </font>
    <font>
      <sz val="11"/>
      <color theme="1"/>
      <name val="Arial Rounded MT Bold"/>
      <family val="2"/>
    </font>
    <font>
      <sz val="8.5"/>
      <name val="Calibri"/>
      <family val="2"/>
      <scheme val="minor"/>
    </font>
    <font>
      <sz val="16"/>
      <color theme="1"/>
      <name val="Calibri"/>
      <family val="2"/>
    </font>
    <font>
      <vertAlign val="superscript"/>
      <sz val="16"/>
      <color theme="1"/>
      <name val="Arial Rounded MT Bold"/>
      <family val="2"/>
    </font>
    <font>
      <b/>
      <sz val="18"/>
      <color rgb="FF000000"/>
      <name val="Arial Rounded MT Bold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 tint="0.3499862666707357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2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95">
    <xf numFmtId="0" fontId="0" fillId="0" borderId="0" xfId="0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/>
    <xf numFmtId="0" fontId="0" fillId="13" borderId="55" xfId="0" applyFill="1" applyBorder="1"/>
    <xf numFmtId="0" fontId="0" fillId="13" borderId="56" xfId="0" applyFill="1" applyBorder="1"/>
    <xf numFmtId="0" fontId="0" fillId="13" borderId="58" xfId="0" applyFill="1" applyBorder="1"/>
    <xf numFmtId="0" fontId="0" fillId="13" borderId="0" xfId="0" applyFill="1"/>
    <xf numFmtId="0" fontId="0" fillId="13" borderId="60" xfId="0" applyFill="1" applyBorder="1"/>
    <xf numFmtId="0" fontId="0" fillId="0" borderId="58" xfId="0" applyBorder="1"/>
    <xf numFmtId="0" fontId="0" fillId="0" borderId="60" xfId="0" applyBorder="1"/>
    <xf numFmtId="0" fontId="0" fillId="13" borderId="61" xfId="0" applyFill="1" applyBorder="1"/>
    <xf numFmtId="0" fontId="0" fillId="13" borderId="62" xfId="0" applyFill="1" applyBorder="1"/>
    <xf numFmtId="0" fontId="0" fillId="13" borderId="63" xfId="0" applyFill="1" applyBorder="1"/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4" fontId="25" fillId="3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0" fillId="24" borderId="51" xfId="0" applyFill="1" applyBorder="1"/>
    <xf numFmtId="0" fontId="0" fillId="24" borderId="54" xfId="0" applyFill="1" applyBorder="1"/>
    <xf numFmtId="0" fontId="11" fillId="24" borderId="54" xfId="0" applyFont="1" applyFill="1" applyBorder="1"/>
    <xf numFmtId="0" fontId="0" fillId="24" borderId="0" xfId="0" applyFill="1"/>
    <xf numFmtId="0" fontId="0" fillId="24" borderId="57" xfId="0" applyFill="1" applyBorder="1"/>
    <xf numFmtId="0" fontId="0" fillId="24" borderId="65" xfId="0" applyFill="1" applyBorder="1"/>
    <xf numFmtId="0" fontId="0" fillId="24" borderId="66" xfId="0" applyFill="1" applyBorder="1"/>
    <xf numFmtId="0" fontId="0" fillId="24" borderId="52" xfId="0" applyFill="1" applyBorder="1"/>
    <xf numFmtId="0" fontId="0" fillId="24" borderId="53" xfId="0" applyFill="1" applyBorder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Protection="1"/>
    <xf numFmtId="0" fontId="22" fillId="2" borderId="8" xfId="0" applyFont="1" applyFill="1" applyBorder="1" applyAlignment="1" applyProtection="1">
      <alignment horizontal="center" vertical="center" wrapText="1"/>
    </xf>
    <xf numFmtId="0" fontId="23" fillId="18" borderId="8" xfId="0" applyFont="1" applyFill="1" applyBorder="1" applyAlignment="1" applyProtection="1">
      <alignment horizontal="center" vertical="center" wrapText="1"/>
    </xf>
    <xf numFmtId="0" fontId="23" fillId="5" borderId="8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8" fillId="0" borderId="67" xfId="0" applyFont="1" applyBorder="1" applyAlignment="1" applyProtection="1">
      <alignment horizontal="left"/>
    </xf>
    <xf numFmtId="164" fontId="29" fillId="0" borderId="68" xfId="0" applyNumberFormat="1" applyFont="1" applyBorder="1" applyProtection="1"/>
    <xf numFmtId="0" fontId="30" fillId="0" borderId="68" xfId="0" applyFont="1" applyBorder="1" applyProtection="1"/>
    <xf numFmtId="9" fontId="29" fillId="0" borderId="68" xfId="0" applyNumberFormat="1" applyFont="1" applyBorder="1" applyProtection="1"/>
    <xf numFmtId="9" fontId="29" fillId="0" borderId="61" xfId="0" applyNumberFormat="1" applyFont="1" applyBorder="1" applyProtection="1"/>
    <xf numFmtId="164" fontId="30" fillId="0" borderId="68" xfId="0" applyNumberFormat="1" applyFont="1" applyBorder="1" applyProtection="1"/>
    <xf numFmtId="9" fontId="29" fillId="0" borderId="14" xfId="0" applyNumberFormat="1" applyFont="1" applyBorder="1" applyProtection="1"/>
    <xf numFmtId="0" fontId="28" fillId="8" borderId="67" xfId="0" applyFont="1" applyFill="1" applyBorder="1" applyAlignment="1" applyProtection="1">
      <alignment horizontal="left"/>
    </xf>
    <xf numFmtId="164" fontId="29" fillId="8" borderId="68" xfId="0" applyNumberFormat="1" applyFont="1" applyFill="1" applyBorder="1" applyProtection="1"/>
    <xf numFmtId="0" fontId="30" fillId="8" borderId="68" xfId="0" applyFont="1" applyFill="1" applyBorder="1" applyProtection="1"/>
    <xf numFmtId="9" fontId="29" fillId="8" borderId="68" xfId="0" applyNumberFormat="1" applyFont="1" applyFill="1" applyBorder="1" applyProtection="1"/>
    <xf numFmtId="9" fontId="29" fillId="8" borderId="61" xfId="0" applyNumberFormat="1" applyFont="1" applyFill="1" applyBorder="1" applyProtection="1"/>
    <xf numFmtId="164" fontId="30" fillId="8" borderId="68" xfId="0" applyNumberFormat="1" applyFont="1" applyFill="1" applyBorder="1" applyProtection="1"/>
    <xf numFmtId="9" fontId="29" fillId="8" borderId="69" xfId="0" applyNumberFormat="1" applyFont="1" applyFill="1" applyBorder="1" applyProtection="1"/>
    <xf numFmtId="0" fontId="28" fillId="10" borderId="27" xfId="0" applyFont="1" applyFill="1" applyBorder="1" applyAlignment="1" applyProtection="1">
      <alignment horizontal="left"/>
    </xf>
    <xf numFmtId="164" fontId="29" fillId="10" borderId="19" xfId="0" applyNumberFormat="1" applyFont="1" applyFill="1" applyBorder="1" applyProtection="1"/>
    <xf numFmtId="0" fontId="30" fillId="10" borderId="19" xfId="0" applyFont="1" applyFill="1" applyBorder="1" applyProtection="1"/>
    <xf numFmtId="9" fontId="29" fillId="10" borderId="19" xfId="0" applyNumberFormat="1" applyFont="1" applyFill="1" applyBorder="1" applyProtection="1"/>
    <xf numFmtId="9" fontId="29" fillId="10" borderId="36" xfId="0" applyNumberFormat="1" applyFont="1" applyFill="1" applyBorder="1" applyProtection="1"/>
    <xf numFmtId="164" fontId="30" fillId="10" borderId="19" xfId="0" applyNumberFormat="1" applyFont="1" applyFill="1" applyBorder="1" applyProtection="1"/>
    <xf numFmtId="9" fontId="29" fillId="10" borderId="20" xfId="0" applyNumberFormat="1" applyFont="1" applyFill="1" applyBorder="1" applyProtection="1"/>
    <xf numFmtId="0" fontId="28" fillId="8" borderId="70" xfId="0" applyFont="1" applyFill="1" applyBorder="1" applyAlignment="1" applyProtection="1">
      <alignment horizontal="left"/>
    </xf>
    <xf numFmtId="164" fontId="29" fillId="8" borderId="71" xfId="0" applyNumberFormat="1" applyFont="1" applyFill="1" applyBorder="1" applyProtection="1"/>
    <xf numFmtId="0" fontId="30" fillId="8" borderId="71" xfId="0" applyFont="1" applyFill="1" applyBorder="1" applyProtection="1"/>
    <xf numFmtId="9" fontId="29" fillId="8" borderId="71" xfId="0" applyNumberFormat="1" applyFont="1" applyFill="1" applyBorder="1" applyProtection="1"/>
    <xf numFmtId="0" fontId="31" fillId="8" borderId="71" xfId="0" applyFont="1" applyFill="1" applyBorder="1" applyProtection="1"/>
    <xf numFmtId="9" fontId="29" fillId="8" borderId="0" xfId="0" applyNumberFormat="1" applyFont="1" applyFill="1" applyProtection="1"/>
    <xf numFmtId="1" fontId="31" fillId="8" borderId="19" xfId="0" applyNumberFormat="1" applyFont="1" applyFill="1" applyBorder="1" applyProtection="1"/>
    <xf numFmtId="9" fontId="29" fillId="8" borderId="20" xfId="0" applyNumberFormat="1" applyFont="1" applyFill="1" applyBorder="1" applyProtection="1"/>
    <xf numFmtId="9" fontId="29" fillId="10" borderId="74" xfId="0" applyNumberFormat="1" applyFont="1" applyFill="1" applyBorder="1" applyProtection="1"/>
    <xf numFmtId="0" fontId="29" fillId="8" borderId="27" xfId="0" applyFont="1" applyFill="1" applyBorder="1" applyAlignment="1" applyProtection="1">
      <alignment horizontal="left"/>
    </xf>
    <xf numFmtId="164" fontId="29" fillId="8" borderId="19" xfId="0" applyNumberFormat="1" applyFont="1" applyFill="1" applyBorder="1" applyProtection="1"/>
    <xf numFmtId="0" fontId="30" fillId="8" borderId="19" xfId="0" applyFont="1" applyFill="1" applyBorder="1" applyProtection="1"/>
    <xf numFmtId="9" fontId="29" fillId="8" borderId="19" xfId="0" applyNumberFormat="1" applyFont="1" applyFill="1" applyBorder="1" applyProtection="1"/>
    <xf numFmtId="9" fontId="29" fillId="8" borderId="74" xfId="0" applyNumberFormat="1" applyFont="1" applyFill="1" applyBorder="1" applyProtection="1"/>
    <xf numFmtId="164" fontId="30" fillId="8" borderId="19" xfId="0" applyNumberFormat="1" applyFont="1" applyFill="1" applyBorder="1" applyProtection="1"/>
    <xf numFmtId="0" fontId="29" fillId="0" borderId="27" xfId="0" applyFont="1" applyBorder="1" applyAlignment="1" applyProtection="1">
      <alignment horizontal="left"/>
    </xf>
    <xf numFmtId="164" fontId="29" fillId="0" borderId="19" xfId="0" applyNumberFormat="1" applyFont="1" applyBorder="1" applyProtection="1"/>
    <xf numFmtId="0" fontId="30" fillId="0" borderId="19" xfId="0" applyFont="1" applyBorder="1" applyProtection="1"/>
    <xf numFmtId="9" fontId="29" fillId="0" borderId="19" xfId="0" applyNumberFormat="1" applyFont="1" applyBorder="1" applyProtection="1"/>
    <xf numFmtId="9" fontId="29" fillId="0" borderId="74" xfId="0" applyNumberFormat="1" applyFont="1" applyBorder="1" applyProtection="1"/>
    <xf numFmtId="164" fontId="30" fillId="0" borderId="19" xfId="0" applyNumberFormat="1" applyFont="1" applyBorder="1" applyProtection="1"/>
    <xf numFmtId="9" fontId="29" fillId="0" borderId="20" xfId="0" applyNumberFormat="1" applyFont="1" applyBorder="1" applyProtection="1"/>
    <xf numFmtId="0" fontId="29" fillId="12" borderId="27" xfId="0" applyFont="1" applyFill="1" applyBorder="1" applyAlignment="1" applyProtection="1">
      <alignment horizontal="left"/>
    </xf>
    <xf numFmtId="164" fontId="29" fillId="12" borderId="19" xfId="0" applyNumberFormat="1" applyFont="1" applyFill="1" applyBorder="1" applyProtection="1"/>
    <xf numFmtId="0" fontId="30" fillId="12" borderId="19" xfId="0" applyFont="1" applyFill="1" applyBorder="1" applyProtection="1"/>
    <xf numFmtId="9" fontId="29" fillId="12" borderId="19" xfId="0" applyNumberFormat="1" applyFont="1" applyFill="1" applyBorder="1" applyProtection="1"/>
    <xf numFmtId="9" fontId="29" fillId="12" borderId="74" xfId="0" applyNumberFormat="1" applyFont="1" applyFill="1" applyBorder="1" applyProtection="1"/>
    <xf numFmtId="164" fontId="30" fillId="12" borderId="19" xfId="0" applyNumberFormat="1" applyFont="1" applyFill="1" applyBorder="1" applyProtection="1"/>
    <xf numFmtId="9" fontId="29" fillId="12" borderId="20" xfId="0" applyNumberFormat="1" applyFont="1" applyFill="1" applyBorder="1" applyProtection="1"/>
    <xf numFmtId="0" fontId="29" fillId="20" borderId="27" xfId="0" applyFont="1" applyFill="1" applyBorder="1" applyAlignment="1" applyProtection="1">
      <alignment horizontal="left"/>
    </xf>
    <xf numFmtId="164" fontId="29" fillId="20" borderId="19" xfId="0" applyNumberFormat="1" applyFont="1" applyFill="1" applyBorder="1" applyProtection="1"/>
    <xf numFmtId="0" fontId="30" fillId="20" borderId="19" xfId="0" applyFont="1" applyFill="1" applyBorder="1" applyProtection="1"/>
    <xf numFmtId="9" fontId="29" fillId="20" borderId="19" xfId="0" applyNumberFormat="1" applyFont="1" applyFill="1" applyBorder="1" applyProtection="1"/>
    <xf numFmtId="9" fontId="29" fillId="20" borderId="74" xfId="0" applyNumberFormat="1" applyFont="1" applyFill="1" applyBorder="1" applyProtection="1"/>
    <xf numFmtId="164" fontId="30" fillId="20" borderId="19" xfId="0" applyNumberFormat="1" applyFont="1" applyFill="1" applyBorder="1" applyProtection="1"/>
    <xf numFmtId="9" fontId="29" fillId="20" borderId="20" xfId="0" applyNumberFormat="1" applyFont="1" applyFill="1" applyBorder="1" applyProtection="1"/>
    <xf numFmtId="0" fontId="29" fillId="12" borderId="72" xfId="0" applyFont="1" applyFill="1" applyBorder="1" applyAlignment="1" applyProtection="1">
      <alignment horizontal="left"/>
    </xf>
    <xf numFmtId="1" fontId="29" fillId="12" borderId="25" xfId="0" applyNumberFormat="1" applyFont="1" applyFill="1" applyBorder="1" applyProtection="1"/>
    <xf numFmtId="0" fontId="30" fillId="12" borderId="25" xfId="0" applyFont="1" applyFill="1" applyBorder="1" applyProtection="1"/>
    <xf numFmtId="9" fontId="29" fillId="12" borderId="25" xfId="0" applyNumberFormat="1" applyFont="1" applyFill="1" applyBorder="1" applyProtection="1"/>
    <xf numFmtId="9" fontId="29" fillId="12" borderId="55" xfId="0" applyNumberFormat="1" applyFont="1" applyFill="1" applyBorder="1" applyProtection="1"/>
    <xf numFmtId="1" fontId="30" fillId="12" borderId="19" xfId="0" applyNumberFormat="1" applyFont="1" applyFill="1" applyBorder="1" applyProtection="1"/>
    <xf numFmtId="0" fontId="28" fillId="19" borderId="19" xfId="0" applyFont="1" applyFill="1" applyBorder="1" applyAlignment="1" applyProtection="1">
      <alignment horizontal="left"/>
    </xf>
    <xf numFmtId="164" fontId="29" fillId="19" borderId="19" xfId="0" applyNumberFormat="1" applyFont="1" applyFill="1" applyBorder="1" applyProtection="1"/>
    <xf numFmtId="0" fontId="30" fillId="19" borderId="19" xfId="0" applyFont="1" applyFill="1" applyBorder="1" applyProtection="1"/>
    <xf numFmtId="9" fontId="29" fillId="19" borderId="19" xfId="0" applyNumberFormat="1" applyFont="1" applyFill="1" applyBorder="1" applyProtection="1"/>
    <xf numFmtId="1" fontId="31" fillId="19" borderId="19" xfId="0" applyNumberFormat="1" applyFont="1" applyFill="1" applyBorder="1" applyProtection="1"/>
    <xf numFmtId="9" fontId="29" fillId="19" borderId="20" xfId="0" applyNumberFormat="1" applyFont="1" applyFill="1" applyBorder="1" applyProtection="1"/>
    <xf numFmtId="0" fontId="29" fillId="13" borderId="72" xfId="0" applyFont="1" applyFill="1" applyBorder="1" applyAlignment="1" applyProtection="1">
      <alignment horizontal="left"/>
    </xf>
    <xf numFmtId="164" fontId="29" fillId="13" borderId="25" xfId="0" applyNumberFormat="1" applyFont="1" applyFill="1" applyBorder="1" applyProtection="1"/>
    <xf numFmtId="0" fontId="30" fillId="13" borderId="25" xfId="0" applyFont="1" applyFill="1" applyBorder="1" applyProtection="1"/>
    <xf numFmtId="9" fontId="29" fillId="13" borderId="25" xfId="0" applyNumberFormat="1" applyFont="1" applyFill="1" applyBorder="1" applyProtection="1"/>
    <xf numFmtId="9" fontId="29" fillId="13" borderId="55" xfId="0" applyNumberFormat="1" applyFont="1" applyFill="1" applyBorder="1" applyProtection="1"/>
    <xf numFmtId="1" fontId="30" fillId="13" borderId="25" xfId="0" applyNumberFormat="1" applyFont="1" applyFill="1" applyBorder="1" applyProtection="1"/>
    <xf numFmtId="9" fontId="29" fillId="13" borderId="30" xfId="0" applyNumberFormat="1" applyFont="1" applyFill="1" applyBorder="1" applyProtection="1"/>
    <xf numFmtId="0" fontId="23" fillId="18" borderId="4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</xf>
    <xf numFmtId="0" fontId="23" fillId="4" borderId="47" xfId="0" applyFont="1" applyFill="1" applyBorder="1" applyAlignment="1" applyProtection="1">
      <alignment horizontal="center" vertical="center" wrapText="1"/>
    </xf>
    <xf numFmtId="9" fontId="29" fillId="8" borderId="62" xfId="0" applyNumberFormat="1" applyFont="1" applyFill="1" applyBorder="1" applyProtection="1"/>
    <xf numFmtId="1" fontId="31" fillId="8" borderId="68" xfId="0" applyNumberFormat="1" applyFont="1" applyFill="1" applyBorder="1" applyProtection="1"/>
    <xf numFmtId="9" fontId="29" fillId="8" borderId="14" xfId="0" applyNumberFormat="1" applyFont="1" applyFill="1" applyBorder="1" applyProtection="1"/>
    <xf numFmtId="1" fontId="31" fillId="10" borderId="19" xfId="0" applyNumberFormat="1" applyFont="1" applyFill="1" applyBorder="1" applyProtection="1"/>
    <xf numFmtId="0" fontId="28" fillId="8" borderId="27" xfId="0" applyFont="1" applyFill="1" applyBorder="1" applyAlignment="1" applyProtection="1">
      <alignment horizontal="left"/>
    </xf>
    <xf numFmtId="1" fontId="30" fillId="10" borderId="19" xfId="0" applyNumberFormat="1" applyFont="1" applyFill="1" applyBorder="1" applyProtection="1"/>
    <xf numFmtId="2" fontId="29" fillId="8" borderId="19" xfId="0" applyNumberFormat="1" applyFont="1" applyFill="1" applyBorder="1" applyProtection="1"/>
    <xf numFmtId="164" fontId="31" fillId="8" borderId="19" xfId="0" applyNumberFormat="1" applyFont="1" applyFill="1" applyBorder="1" applyProtection="1"/>
    <xf numFmtId="2" fontId="29" fillId="10" borderId="19" xfId="0" applyNumberFormat="1" applyFont="1" applyFill="1" applyBorder="1" applyProtection="1"/>
    <xf numFmtId="164" fontId="31" fillId="10" borderId="19" xfId="0" applyNumberFormat="1" applyFont="1" applyFill="1" applyBorder="1" applyProtection="1"/>
    <xf numFmtId="1" fontId="30" fillId="8" borderId="19" xfId="0" applyNumberFormat="1" applyFont="1" applyFill="1" applyBorder="1" applyProtection="1"/>
    <xf numFmtId="0" fontId="28" fillId="8" borderId="72" xfId="0" applyFont="1" applyFill="1" applyBorder="1" applyAlignment="1" applyProtection="1">
      <alignment horizontal="left"/>
    </xf>
    <xf numFmtId="164" fontId="29" fillId="8" borderId="56" xfId="0" applyNumberFormat="1" applyFont="1" applyFill="1" applyBorder="1" applyProtection="1"/>
    <xf numFmtId="0" fontId="30" fillId="8" borderId="25" xfId="0" applyFont="1" applyFill="1" applyBorder="1" applyAlignment="1" applyProtection="1">
      <alignment horizontal="right"/>
    </xf>
    <xf numFmtId="0" fontId="29" fillId="8" borderId="25" xfId="0" applyFont="1" applyFill="1" applyBorder="1" applyProtection="1"/>
    <xf numFmtId="0" fontId="29" fillId="8" borderId="55" xfId="0" applyFont="1" applyFill="1" applyBorder="1" applyProtection="1"/>
    <xf numFmtId="164" fontId="30" fillId="8" borderId="25" xfId="0" applyNumberFormat="1" applyFont="1" applyFill="1" applyBorder="1" applyProtection="1"/>
    <xf numFmtId="0" fontId="29" fillId="8" borderId="30" xfId="0" applyFont="1" applyFill="1" applyBorder="1" applyProtection="1"/>
    <xf numFmtId="0" fontId="23" fillId="4" borderId="48" xfId="0" applyFont="1" applyFill="1" applyBorder="1" applyAlignment="1" applyProtection="1">
      <alignment horizontal="center" vertical="center" wrapText="1"/>
    </xf>
    <xf numFmtId="164" fontId="29" fillId="9" borderId="68" xfId="0" applyNumberFormat="1" applyFont="1" applyFill="1" applyBorder="1" applyProtection="1"/>
    <xf numFmtId="0" fontId="30" fillId="9" borderId="68" xfId="0" applyFont="1" applyFill="1" applyBorder="1" applyProtection="1"/>
    <xf numFmtId="9" fontId="29" fillId="9" borderId="68" xfId="0" applyNumberFormat="1" applyFont="1" applyFill="1" applyBorder="1" applyProtection="1"/>
    <xf numFmtId="9" fontId="29" fillId="9" borderId="62" xfId="0" applyNumberFormat="1" applyFont="1" applyFill="1" applyBorder="1" applyProtection="1"/>
    <xf numFmtId="1" fontId="31" fillId="9" borderId="68" xfId="0" applyNumberFormat="1" applyFont="1" applyFill="1" applyBorder="1" applyProtection="1"/>
    <xf numFmtId="9" fontId="29" fillId="9" borderId="14" xfId="0" applyNumberFormat="1" applyFont="1" applyFill="1" applyBorder="1" applyProtection="1"/>
    <xf numFmtId="1" fontId="31" fillId="0" borderId="19" xfId="0" applyNumberFormat="1" applyFont="1" applyBorder="1" applyProtection="1"/>
    <xf numFmtId="164" fontId="29" fillId="9" borderId="19" xfId="0" applyNumberFormat="1" applyFont="1" applyFill="1" applyBorder="1" applyProtection="1"/>
    <xf numFmtId="0" fontId="30" fillId="9" borderId="19" xfId="0" applyFont="1" applyFill="1" applyBorder="1" applyProtection="1"/>
    <xf numFmtId="9" fontId="29" fillId="9" borderId="19" xfId="0" applyNumberFormat="1" applyFont="1" applyFill="1" applyBorder="1" applyProtection="1"/>
    <xf numFmtId="9" fontId="29" fillId="9" borderId="74" xfId="0" applyNumberFormat="1" applyFont="1" applyFill="1" applyBorder="1" applyProtection="1"/>
    <xf numFmtId="1" fontId="31" fillId="9" borderId="19" xfId="0" applyNumberFormat="1" applyFont="1" applyFill="1" applyBorder="1" applyProtection="1"/>
    <xf numFmtId="9" fontId="29" fillId="9" borderId="20" xfId="0" applyNumberFormat="1" applyFont="1" applyFill="1" applyBorder="1" applyProtection="1"/>
    <xf numFmtId="0" fontId="31" fillId="0" borderId="19" xfId="0" applyFont="1" applyBorder="1" applyProtection="1"/>
    <xf numFmtId="0" fontId="31" fillId="9" borderId="19" xfId="0" applyFont="1" applyFill="1" applyBorder="1" applyProtection="1"/>
    <xf numFmtId="2" fontId="29" fillId="0" borderId="19" xfId="0" applyNumberFormat="1" applyFont="1" applyBorder="1" applyProtection="1"/>
    <xf numFmtId="1" fontId="30" fillId="0" borderId="19" xfId="0" applyNumberFormat="1" applyFont="1" applyBorder="1" applyProtection="1"/>
    <xf numFmtId="0" fontId="30" fillId="0" borderId="19" xfId="0" applyFont="1" applyBorder="1" applyAlignment="1" applyProtection="1">
      <alignment horizontal="right"/>
    </xf>
    <xf numFmtId="0" fontId="30" fillId="9" borderId="19" xfId="0" applyFont="1" applyFill="1" applyBorder="1" applyAlignment="1" applyProtection="1">
      <alignment horizontal="right"/>
    </xf>
    <xf numFmtId="1" fontId="30" fillId="9" borderId="19" xfId="0" applyNumberFormat="1" applyFont="1" applyFill="1" applyBorder="1" applyProtection="1"/>
    <xf numFmtId="0" fontId="28" fillId="10" borderId="28" xfId="0" applyFont="1" applyFill="1" applyBorder="1" applyAlignment="1" applyProtection="1">
      <alignment horizontal="left"/>
    </xf>
    <xf numFmtId="164" fontId="29" fillId="0" borderId="29" xfId="0" applyNumberFormat="1" applyFont="1" applyBorder="1" applyProtection="1"/>
    <xf numFmtId="0" fontId="30" fillId="0" borderId="29" xfId="0" applyFont="1" applyBorder="1" applyAlignment="1" applyProtection="1">
      <alignment horizontal="right"/>
    </xf>
    <xf numFmtId="9" fontId="29" fillId="0" borderId="29" xfId="0" applyNumberFormat="1" applyFont="1" applyBorder="1" applyProtection="1"/>
    <xf numFmtId="9" fontId="29" fillId="0" borderId="75" xfId="0" applyNumberFormat="1" applyFont="1" applyBorder="1" applyProtection="1"/>
    <xf numFmtId="1" fontId="30" fillId="0" borderId="29" xfId="0" applyNumberFormat="1" applyFont="1" applyBorder="1" applyProtection="1"/>
    <xf numFmtId="9" fontId="29" fillId="0" borderId="30" xfId="0" applyNumberFormat="1" applyFont="1" applyBorder="1" applyProtection="1"/>
    <xf numFmtId="0" fontId="17" fillId="10" borderId="43" xfId="0" applyFont="1" applyFill="1" applyBorder="1" applyProtection="1"/>
    <xf numFmtId="0" fontId="0" fillId="0" borderId="0" xfId="0" applyAlignment="1" applyProtection="1">
      <alignment horizontal="center"/>
    </xf>
    <xf numFmtId="0" fontId="15" fillId="0" borderId="0" xfId="0" applyFont="1" applyProtection="1"/>
    <xf numFmtId="0" fontId="21" fillId="0" borderId="1" xfId="0" applyFont="1" applyBorder="1" applyProtection="1"/>
    <xf numFmtId="0" fontId="2" fillId="0" borderId="2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22" fillId="2" borderId="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8" fillId="5" borderId="8" xfId="0" applyFont="1" applyFill="1" applyBorder="1" applyAlignment="1" applyProtection="1">
      <alignment horizontal="center" vertical="center" wrapText="1"/>
    </xf>
    <xf numFmtId="0" fontId="23" fillId="6" borderId="4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28" fillId="19" borderId="9" xfId="0" applyFont="1" applyFill="1" applyBorder="1" applyAlignment="1" applyProtection="1">
      <alignment horizontal="left"/>
    </xf>
    <xf numFmtId="164" fontId="29" fillId="19" borderId="10" xfId="0" applyNumberFormat="1" applyFont="1" applyFill="1" applyBorder="1" applyProtection="1"/>
    <xf numFmtId="0" fontId="30" fillId="0" borderId="11" xfId="0" applyFont="1" applyBorder="1" applyProtection="1"/>
    <xf numFmtId="10" fontId="29" fillId="0" borderId="11" xfId="0" applyNumberFormat="1" applyFont="1" applyBorder="1" applyProtection="1"/>
    <xf numFmtId="9" fontId="29" fillId="0" borderId="12" xfId="0" applyNumberFormat="1" applyFont="1" applyBorder="1" applyProtection="1"/>
    <xf numFmtId="0" fontId="15" fillId="0" borderId="13" xfId="0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29" fillId="8" borderId="31" xfId="0" applyFont="1" applyFill="1" applyBorder="1" applyAlignment="1" applyProtection="1">
      <alignment horizontal="left"/>
    </xf>
    <xf numFmtId="164" fontId="13" fillId="8" borderId="32" xfId="0" applyNumberFormat="1" applyFont="1" applyFill="1" applyBorder="1" applyProtection="1"/>
    <xf numFmtId="0" fontId="30" fillId="0" borderId="33" xfId="0" applyFont="1" applyBorder="1" applyProtection="1"/>
    <xf numFmtId="10" fontId="29" fillId="0" borderId="33" xfId="0" applyNumberFormat="1" applyFont="1" applyBorder="1" applyProtection="1"/>
    <xf numFmtId="9" fontId="29" fillId="0" borderId="34" xfId="0" applyNumberFormat="1" applyFont="1" applyBorder="1" applyProtection="1"/>
    <xf numFmtId="0" fontId="15" fillId="0" borderId="68" xfId="0" applyFont="1" applyBorder="1" applyProtection="1"/>
    <xf numFmtId="0" fontId="0" fillId="0" borderId="68" xfId="0" applyBorder="1" applyProtection="1"/>
    <xf numFmtId="0" fontId="0" fillId="0" borderId="69" xfId="0" applyBorder="1" applyProtection="1"/>
    <xf numFmtId="0" fontId="28" fillId="10" borderId="15" xfId="0" applyFont="1" applyFill="1" applyBorder="1" applyAlignment="1" applyProtection="1">
      <alignment horizontal="left"/>
    </xf>
    <xf numFmtId="164" fontId="29" fillId="10" borderId="16" xfId="0" applyNumberFormat="1" applyFont="1" applyFill="1" applyBorder="1" applyProtection="1"/>
    <xf numFmtId="0" fontId="30" fillId="10" borderId="17" xfId="0" applyFont="1" applyFill="1" applyBorder="1" applyProtection="1"/>
    <xf numFmtId="10" fontId="29" fillId="10" borderId="17" xfId="0" applyNumberFormat="1" applyFont="1" applyFill="1" applyBorder="1" applyProtection="1"/>
    <xf numFmtId="9" fontId="29" fillId="10" borderId="18" xfId="0" applyNumberFormat="1" applyFont="1" applyFill="1" applyBorder="1" applyProtection="1"/>
    <xf numFmtId="0" fontId="15" fillId="0" borderId="19" xfId="0" applyFont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28" fillId="8" borderId="15" xfId="0" applyFont="1" applyFill="1" applyBorder="1" applyAlignment="1" applyProtection="1">
      <alignment horizontal="left"/>
    </xf>
    <xf numFmtId="164" fontId="29" fillId="8" borderId="16" xfId="0" applyNumberFormat="1" applyFont="1" applyFill="1" applyBorder="1" applyProtection="1"/>
    <xf numFmtId="0" fontId="31" fillId="8" borderId="17" xfId="0" applyFont="1" applyFill="1" applyBorder="1" applyProtection="1"/>
    <xf numFmtId="9" fontId="29" fillId="8" borderId="17" xfId="0" applyNumberFormat="1" applyFont="1" applyFill="1" applyBorder="1" applyProtection="1"/>
    <xf numFmtId="9" fontId="29" fillId="8" borderId="18" xfId="0" applyNumberFormat="1" applyFont="1" applyFill="1" applyBorder="1" applyProtection="1"/>
    <xf numFmtId="0" fontId="36" fillId="9" borderId="19" xfId="0" applyFont="1" applyFill="1" applyBorder="1" applyProtection="1"/>
    <xf numFmtId="9" fontId="13" fillId="9" borderId="19" xfId="0" applyNumberFormat="1" applyFont="1" applyFill="1" applyBorder="1" applyProtection="1"/>
    <xf numFmtId="9" fontId="13" fillId="9" borderId="20" xfId="0" applyNumberFormat="1" applyFont="1" applyFill="1" applyBorder="1" applyProtection="1"/>
    <xf numFmtId="0" fontId="28" fillId="10" borderId="21" xfId="0" applyFont="1" applyFill="1" applyBorder="1" applyAlignment="1" applyProtection="1">
      <alignment horizontal="left"/>
    </xf>
    <xf numFmtId="164" fontId="29" fillId="10" borderId="22" xfId="0" applyNumberFormat="1" applyFont="1" applyFill="1" applyBorder="1" applyProtection="1"/>
    <xf numFmtId="0" fontId="30" fillId="10" borderId="23" xfId="0" applyFont="1" applyFill="1" applyBorder="1" applyProtection="1"/>
    <xf numFmtId="9" fontId="29" fillId="10" borderId="23" xfId="0" applyNumberFormat="1" applyFont="1" applyFill="1" applyBorder="1" applyProtection="1"/>
    <xf numFmtId="9" fontId="29" fillId="10" borderId="24" xfId="0" applyNumberFormat="1" applyFont="1" applyFill="1" applyBorder="1" applyProtection="1"/>
    <xf numFmtId="0" fontId="15" fillId="11" borderId="25" xfId="0" applyFont="1" applyFill="1" applyBorder="1" applyProtection="1"/>
    <xf numFmtId="9" fontId="0" fillId="11" borderId="25" xfId="0" applyNumberFormat="1" applyFill="1" applyBorder="1" applyProtection="1"/>
    <xf numFmtId="0" fontId="0" fillId="11" borderId="25" xfId="0" applyFill="1" applyBorder="1" applyProtection="1"/>
    <xf numFmtId="9" fontId="13" fillId="11" borderId="26" xfId="0" applyNumberFormat="1" applyFont="1" applyFill="1" applyBorder="1" applyProtection="1"/>
    <xf numFmtId="0" fontId="28" fillId="10" borderId="73" xfId="0" applyFont="1" applyFill="1" applyBorder="1" applyAlignment="1" applyProtection="1">
      <alignment horizontal="left"/>
    </xf>
    <xf numFmtId="0" fontId="31" fillId="8" borderId="19" xfId="0" applyFont="1" applyFill="1" applyBorder="1" applyProtection="1"/>
    <xf numFmtId="0" fontId="23" fillId="12" borderId="27" xfId="0" applyFont="1" applyFill="1" applyBorder="1" applyAlignment="1" applyProtection="1">
      <alignment horizontal="left"/>
    </xf>
    <xf numFmtId="0" fontId="8" fillId="13" borderId="19" xfId="0" applyFont="1" applyFill="1" applyBorder="1" applyProtection="1"/>
    <xf numFmtId="9" fontId="13" fillId="13" borderId="19" xfId="0" applyNumberFormat="1" applyFont="1" applyFill="1" applyBorder="1" applyProtection="1"/>
    <xf numFmtId="9" fontId="13" fillId="13" borderId="20" xfId="0" applyNumberFormat="1" applyFont="1" applyFill="1" applyBorder="1" applyProtection="1"/>
    <xf numFmtId="0" fontId="28" fillId="12" borderId="27" xfId="0" applyFont="1" applyFill="1" applyBorder="1" applyAlignment="1" applyProtection="1">
      <alignment horizontal="left"/>
    </xf>
    <xf numFmtId="0" fontId="23" fillId="13" borderId="19" xfId="0" applyFont="1" applyFill="1" applyBorder="1" applyProtection="1"/>
    <xf numFmtId="0" fontId="28" fillId="12" borderId="28" xfId="0" applyFont="1" applyFill="1" applyBorder="1" applyAlignment="1" applyProtection="1">
      <alignment horizontal="left"/>
    </xf>
    <xf numFmtId="164" fontId="29" fillId="12" borderId="29" xfId="0" applyNumberFormat="1" applyFont="1" applyFill="1" applyBorder="1" applyProtection="1"/>
    <xf numFmtId="0" fontId="30" fillId="12" borderId="29" xfId="0" applyFont="1" applyFill="1" applyBorder="1" applyProtection="1"/>
    <xf numFmtId="9" fontId="29" fillId="12" borderId="29" xfId="0" applyNumberFormat="1" applyFont="1" applyFill="1" applyBorder="1" applyProtection="1"/>
    <xf numFmtId="0" fontId="8" fillId="13" borderId="29" xfId="0" applyFont="1" applyFill="1" applyBorder="1" applyProtection="1"/>
    <xf numFmtId="9" fontId="13" fillId="13" borderId="29" xfId="0" applyNumberFormat="1" applyFont="1" applyFill="1" applyBorder="1" applyProtection="1"/>
    <xf numFmtId="0" fontId="23" fillId="13" borderId="29" xfId="0" applyFont="1" applyFill="1" applyBorder="1" applyProtection="1"/>
    <xf numFmtId="9" fontId="13" fillId="13" borderId="30" xfId="0" applyNumberFormat="1" applyFont="1" applyFill="1" applyBorder="1" applyProtection="1"/>
    <xf numFmtId="0" fontId="28" fillId="8" borderId="31" xfId="0" applyFont="1" applyFill="1" applyBorder="1" applyAlignment="1" applyProtection="1">
      <alignment horizontal="left"/>
    </xf>
    <xf numFmtId="1" fontId="29" fillId="8" borderId="32" xfId="0" applyNumberFormat="1" applyFont="1" applyFill="1" applyBorder="1" applyProtection="1"/>
    <xf numFmtId="0" fontId="31" fillId="8" borderId="33" xfId="0" applyFont="1" applyFill="1" applyBorder="1" applyProtection="1"/>
    <xf numFmtId="9" fontId="29" fillId="8" borderId="33" xfId="0" applyNumberFormat="1" applyFont="1" applyFill="1" applyBorder="1" applyProtection="1"/>
    <xf numFmtId="9" fontId="29" fillId="8" borderId="34" xfId="0" applyNumberFormat="1" applyFont="1" applyFill="1" applyBorder="1" applyProtection="1"/>
    <xf numFmtId="1" fontId="36" fillId="9" borderId="13" xfId="0" applyNumberFormat="1" applyFont="1" applyFill="1" applyBorder="1" applyProtection="1"/>
    <xf numFmtId="9" fontId="13" fillId="9" borderId="13" xfId="0" applyNumberFormat="1" applyFont="1" applyFill="1" applyBorder="1" applyProtection="1"/>
    <xf numFmtId="9" fontId="13" fillId="9" borderId="14" xfId="0" applyNumberFormat="1" applyFont="1" applyFill="1" applyBorder="1" applyProtection="1"/>
    <xf numFmtId="0" fontId="31" fillId="10" borderId="17" xfId="0" applyFont="1" applyFill="1" applyBorder="1" applyProtection="1"/>
    <xf numFmtId="9" fontId="29" fillId="10" borderId="17" xfId="0" applyNumberFormat="1" applyFont="1" applyFill="1" applyBorder="1" applyProtection="1"/>
    <xf numFmtId="1" fontId="40" fillId="0" borderId="19" xfId="0" applyNumberFormat="1" applyFont="1" applyBorder="1" applyProtection="1"/>
    <xf numFmtId="9" fontId="0" fillId="0" borderId="19" xfId="0" applyNumberFormat="1" applyBorder="1" applyProtection="1"/>
    <xf numFmtId="9" fontId="0" fillId="0" borderId="20" xfId="0" applyNumberFormat="1" applyBorder="1" applyProtection="1"/>
    <xf numFmtId="1" fontId="36" fillId="9" borderId="19" xfId="0" applyNumberFormat="1" applyFont="1" applyFill="1" applyBorder="1" applyProtection="1"/>
    <xf numFmtId="1" fontId="15" fillId="0" borderId="19" xfId="0" applyNumberFormat="1" applyFont="1" applyBorder="1" applyProtection="1"/>
    <xf numFmtId="2" fontId="29" fillId="8" borderId="16" xfId="0" applyNumberFormat="1" applyFont="1" applyFill="1" applyBorder="1" applyProtection="1"/>
    <xf numFmtId="164" fontId="36" fillId="9" borderId="19" xfId="0" applyNumberFormat="1" applyFont="1" applyFill="1" applyBorder="1" applyProtection="1"/>
    <xf numFmtId="2" fontId="29" fillId="10" borderId="16" xfId="0" applyNumberFormat="1" applyFont="1" applyFill="1" applyBorder="1" applyProtection="1"/>
    <xf numFmtId="164" fontId="36" fillId="0" borderId="19" xfId="0" applyNumberFormat="1" applyFont="1" applyBorder="1" applyProtection="1"/>
    <xf numFmtId="9" fontId="13" fillId="0" borderId="19" xfId="0" applyNumberFormat="1" applyFont="1" applyBorder="1" applyProtection="1"/>
    <xf numFmtId="9" fontId="13" fillId="0" borderId="20" xfId="0" applyNumberFormat="1" applyFont="1" applyBorder="1" applyProtection="1"/>
    <xf numFmtId="1" fontId="36" fillId="0" borderId="19" xfId="0" applyNumberFormat="1" applyFont="1" applyBorder="1" applyProtection="1"/>
    <xf numFmtId="0" fontId="30" fillId="8" borderId="17" xfId="0" applyFont="1" applyFill="1" applyBorder="1" applyProtection="1"/>
    <xf numFmtId="1" fontId="15" fillId="9" borderId="19" xfId="0" applyNumberFormat="1" applyFont="1" applyFill="1" applyBorder="1" applyProtection="1"/>
    <xf numFmtId="9" fontId="0" fillId="9" borderId="19" xfId="0" applyNumberFormat="1" applyFill="1" applyBorder="1" applyProtection="1"/>
    <xf numFmtId="9" fontId="0" fillId="9" borderId="20" xfId="0" applyNumberFormat="1" applyFill="1" applyBorder="1" applyProtection="1"/>
    <xf numFmtId="0" fontId="28" fillId="8" borderId="21" xfId="0" applyFont="1" applyFill="1" applyBorder="1" applyAlignment="1" applyProtection="1">
      <alignment horizontal="left"/>
    </xf>
    <xf numFmtId="164" fontId="29" fillId="8" borderId="24" xfId="0" applyNumberFormat="1" applyFont="1" applyFill="1" applyBorder="1" applyProtection="1"/>
    <xf numFmtId="0" fontId="30" fillId="8" borderId="29" xfId="0" applyFont="1" applyFill="1" applyBorder="1" applyAlignment="1" applyProtection="1">
      <alignment horizontal="right"/>
    </xf>
    <xf numFmtId="9" fontId="29" fillId="8" borderId="29" xfId="0" applyNumberFormat="1" applyFont="1" applyFill="1" applyBorder="1" applyAlignment="1" applyProtection="1">
      <alignment horizontal="right"/>
    </xf>
    <xf numFmtId="9" fontId="29" fillId="8" borderId="40" xfId="0" applyNumberFormat="1" applyFont="1" applyFill="1" applyBorder="1" applyAlignment="1" applyProtection="1">
      <alignment horizontal="right"/>
    </xf>
    <xf numFmtId="164" fontId="15" fillId="9" borderId="29" xfId="0" applyNumberFormat="1" applyFont="1" applyFill="1" applyBorder="1" applyAlignment="1" applyProtection="1">
      <alignment horizontal="right"/>
    </xf>
    <xf numFmtId="0" fontId="0" fillId="9" borderId="29" xfId="0" applyFill="1" applyBorder="1" applyProtection="1"/>
    <xf numFmtId="0" fontId="0" fillId="9" borderId="30" xfId="0" applyFill="1" applyBorder="1" applyProtection="1"/>
    <xf numFmtId="0" fontId="23" fillId="6" borderId="8" xfId="0" applyFont="1" applyFill="1" applyBorder="1" applyAlignment="1" applyProtection="1">
      <alignment horizontal="center" vertical="center" wrapText="1"/>
    </xf>
    <xf numFmtId="0" fontId="23" fillId="7" borderId="8" xfId="0" applyFont="1" applyFill="1" applyBorder="1" applyAlignment="1" applyProtection="1">
      <alignment horizontal="center" vertical="center" wrapText="1"/>
    </xf>
    <xf numFmtId="1" fontId="40" fillId="9" borderId="13" xfId="0" applyNumberFormat="1" applyFont="1" applyFill="1" applyBorder="1" applyProtection="1"/>
    <xf numFmtId="9" fontId="0" fillId="9" borderId="13" xfId="0" applyNumberFormat="1" applyFill="1" applyBorder="1" applyProtection="1"/>
    <xf numFmtId="9" fontId="0" fillId="9" borderId="14" xfId="0" applyNumberFormat="1" applyFill="1" applyBorder="1" applyProtection="1"/>
    <xf numFmtId="1" fontId="29" fillId="10" borderId="16" xfId="0" applyNumberFormat="1" applyFont="1" applyFill="1" applyBorder="1" applyProtection="1"/>
    <xf numFmtId="164" fontId="15" fillId="0" borderId="19" xfId="0" applyNumberFormat="1" applyFont="1" applyBorder="1" applyProtection="1"/>
    <xf numFmtId="1" fontId="29" fillId="8" borderId="16" xfId="0" applyNumberFormat="1" applyFont="1" applyFill="1" applyBorder="1" applyProtection="1"/>
    <xf numFmtId="0" fontId="31" fillId="8" borderId="23" xfId="0" applyFont="1" applyFill="1" applyBorder="1" applyProtection="1"/>
    <xf numFmtId="9" fontId="29" fillId="8" borderId="23" xfId="0" applyNumberFormat="1" applyFont="1" applyFill="1" applyBorder="1" applyProtection="1"/>
    <xf numFmtId="9" fontId="29" fillId="8" borderId="24" xfId="0" applyNumberFormat="1" applyFont="1" applyFill="1" applyBorder="1" applyProtection="1"/>
    <xf numFmtId="0" fontId="30" fillId="10" borderId="17" xfId="0" applyFont="1" applyFill="1" applyBorder="1" applyAlignment="1" applyProtection="1">
      <alignment horizontal="right"/>
    </xf>
    <xf numFmtId="9" fontId="29" fillId="10" borderId="19" xfId="0" applyNumberFormat="1" applyFont="1" applyFill="1" applyBorder="1" applyAlignment="1" applyProtection="1">
      <alignment horizontal="right"/>
    </xf>
    <xf numFmtId="9" fontId="29" fillId="10" borderId="36" xfId="0" applyNumberFormat="1" applyFont="1" applyFill="1" applyBorder="1" applyAlignment="1" applyProtection="1">
      <alignment horizontal="right"/>
    </xf>
    <xf numFmtId="1" fontId="29" fillId="8" borderId="22" xfId="0" applyNumberFormat="1" applyFont="1" applyFill="1" applyBorder="1" applyProtection="1"/>
    <xf numFmtId="0" fontId="30" fillId="8" borderId="23" xfId="0" applyFont="1" applyFill="1" applyBorder="1" applyAlignment="1" applyProtection="1">
      <alignment horizontal="right"/>
    </xf>
    <xf numFmtId="9" fontId="29" fillId="8" borderId="25" xfId="0" applyNumberFormat="1" applyFont="1" applyFill="1" applyBorder="1" applyAlignment="1" applyProtection="1">
      <alignment horizontal="right"/>
    </xf>
    <xf numFmtId="9" fontId="29" fillId="8" borderId="35" xfId="0" applyNumberFormat="1" applyFont="1" applyFill="1" applyBorder="1" applyAlignment="1" applyProtection="1">
      <alignment horizontal="right"/>
    </xf>
    <xf numFmtId="0" fontId="28" fillId="10" borderId="37" xfId="0" applyFont="1" applyFill="1" applyBorder="1" applyAlignment="1" applyProtection="1">
      <alignment horizontal="left"/>
    </xf>
    <xf numFmtId="1" fontId="29" fillId="10" borderId="38" xfId="0" applyNumberFormat="1" applyFont="1" applyFill="1" applyBorder="1" applyProtection="1"/>
    <xf numFmtId="0" fontId="30" fillId="10" borderId="39" xfId="0" applyFont="1" applyFill="1" applyBorder="1" applyAlignment="1" applyProtection="1">
      <alignment horizontal="right"/>
    </xf>
    <xf numFmtId="9" fontId="29" fillId="10" borderId="29" xfId="0" applyNumberFormat="1" applyFont="1" applyFill="1" applyBorder="1" applyAlignment="1" applyProtection="1">
      <alignment horizontal="right"/>
    </xf>
    <xf numFmtId="9" fontId="29" fillId="10" borderId="40" xfId="0" applyNumberFormat="1" applyFont="1" applyFill="1" applyBorder="1" applyAlignment="1" applyProtection="1">
      <alignment horizontal="right"/>
    </xf>
    <xf numFmtId="1" fontId="15" fillId="0" borderId="29" xfId="0" applyNumberFormat="1" applyFont="1" applyBorder="1" applyProtection="1"/>
    <xf numFmtId="9" fontId="0" fillId="0" borderId="29" xfId="0" applyNumberFormat="1" applyBorder="1" applyProtection="1"/>
    <xf numFmtId="9" fontId="0" fillId="0" borderId="30" xfId="0" applyNumberFormat="1" applyBorder="1" applyProtection="1"/>
    <xf numFmtId="0" fontId="2" fillId="0" borderId="1" xfId="0" applyFont="1" applyBorder="1" applyProtection="1"/>
    <xf numFmtId="0" fontId="28" fillId="0" borderId="9" xfId="0" applyFont="1" applyBorder="1" applyAlignment="1" applyProtection="1">
      <alignment horizontal="left"/>
    </xf>
    <xf numFmtId="164" fontId="29" fillId="0" borderId="10" xfId="0" applyNumberFormat="1" applyFont="1" applyBorder="1" applyProtection="1"/>
    <xf numFmtId="164" fontId="29" fillId="8" borderId="32" xfId="0" applyNumberFormat="1" applyFont="1" applyFill="1" applyBorder="1" applyProtection="1"/>
    <xf numFmtId="2" fontId="13" fillId="10" borderId="19" xfId="0" applyNumberFormat="1" applyFont="1" applyFill="1" applyBorder="1" applyProtection="1"/>
    <xf numFmtId="164" fontId="29" fillId="20" borderId="16" xfId="0" applyNumberFormat="1" applyFont="1" applyFill="1" applyBorder="1" applyProtection="1"/>
    <xf numFmtId="0" fontId="28" fillId="20" borderId="31" xfId="0" applyFont="1" applyFill="1" applyBorder="1" applyAlignment="1" applyProtection="1">
      <alignment horizontal="left"/>
    </xf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27" xfId="0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8" fillId="17" borderId="27" xfId="0" applyFont="1" applyFill="1" applyBorder="1" applyAlignment="1" applyProtection="1">
      <alignment horizontal="center"/>
    </xf>
    <xf numFmtId="1" fontId="8" fillId="17" borderId="19" xfId="0" applyNumberFormat="1" applyFont="1" applyFill="1" applyBorder="1" applyAlignment="1" applyProtection="1">
      <alignment horizontal="center"/>
    </xf>
    <xf numFmtId="1" fontId="8" fillId="17" borderId="20" xfId="0" applyNumberFormat="1" applyFont="1" applyFill="1" applyBorder="1" applyAlignment="1" applyProtection="1">
      <alignment horizontal="center"/>
    </xf>
    <xf numFmtId="0" fontId="0" fillId="23" borderId="27" xfId="0" applyFill="1" applyBorder="1" applyAlignment="1" applyProtection="1">
      <alignment horizontal="center"/>
    </xf>
    <xf numFmtId="1" fontId="0" fillId="23" borderId="19" xfId="0" applyNumberFormat="1" applyFill="1" applyBorder="1" applyAlignment="1" applyProtection="1">
      <alignment horizontal="center"/>
    </xf>
    <xf numFmtId="1" fontId="0" fillId="23" borderId="20" xfId="0" applyNumberFormat="1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1" fontId="0" fillId="0" borderId="19" xfId="0" applyNumberForma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1" fontId="13" fillId="0" borderId="19" xfId="0" applyNumberFormat="1" applyFont="1" applyBorder="1" applyAlignment="1" applyProtection="1">
      <alignment horizontal="center"/>
    </xf>
    <xf numFmtId="164" fontId="13" fillId="0" borderId="19" xfId="0" applyNumberFormat="1" applyFont="1" applyBorder="1" applyAlignment="1" applyProtection="1">
      <alignment horizontal="center"/>
    </xf>
    <xf numFmtId="164" fontId="13" fillId="0" borderId="20" xfId="0" applyNumberFormat="1" applyFont="1" applyBorder="1" applyAlignment="1" applyProtection="1">
      <alignment horizontal="center"/>
    </xf>
    <xf numFmtId="0" fontId="2" fillId="0" borderId="0" xfId="0" applyFont="1" applyProtection="1"/>
    <xf numFmtId="164" fontId="2" fillId="0" borderId="0" xfId="0" applyNumberFormat="1" applyFont="1" applyProtection="1"/>
    <xf numFmtId="0" fontId="48" fillId="0" borderId="0" xfId="0" applyFont="1" applyProtection="1"/>
    <xf numFmtId="164" fontId="0" fillId="0" borderId="0" xfId="0" applyNumberFormat="1" applyProtection="1"/>
    <xf numFmtId="0" fontId="0" fillId="0" borderId="1" xfId="0" applyBorder="1" applyProtection="1"/>
    <xf numFmtId="0" fontId="45" fillId="0" borderId="43" xfId="0" applyFont="1" applyBorder="1" applyAlignment="1" applyProtection="1">
      <alignment vertical="center" wrapText="1"/>
    </xf>
    <xf numFmtId="0" fontId="45" fillId="0" borderId="0" xfId="0" applyFont="1" applyAlignment="1" applyProtection="1">
      <alignment vertical="center" wrapText="1"/>
    </xf>
    <xf numFmtId="0" fontId="0" fillId="0" borderId="49" xfId="0" applyBorder="1" applyAlignment="1" applyProtection="1">
      <alignment horizontal="center"/>
    </xf>
    <xf numFmtId="0" fontId="8" fillId="21" borderId="49" xfId="0" applyFont="1" applyFill="1" applyBorder="1" applyAlignment="1" applyProtection="1">
      <alignment horizontal="center"/>
    </xf>
    <xf numFmtId="1" fontId="8" fillId="21" borderId="19" xfId="0" applyNumberFormat="1" applyFont="1" applyFill="1" applyBorder="1" applyAlignment="1" applyProtection="1">
      <alignment horizontal="center"/>
    </xf>
    <xf numFmtId="1" fontId="8" fillId="21" borderId="20" xfId="0" applyNumberFormat="1" applyFont="1" applyFill="1" applyBorder="1" applyAlignment="1" applyProtection="1">
      <alignment horizontal="center"/>
    </xf>
    <xf numFmtId="0" fontId="13" fillId="17" borderId="49" xfId="0" applyFont="1" applyFill="1" applyBorder="1" applyAlignment="1" applyProtection="1">
      <alignment horizontal="center"/>
    </xf>
    <xf numFmtId="1" fontId="0" fillId="17" borderId="19" xfId="0" applyNumberFormat="1" applyFill="1" applyBorder="1" applyAlignment="1" applyProtection="1">
      <alignment horizontal="center"/>
    </xf>
    <xf numFmtId="1" fontId="0" fillId="17" borderId="20" xfId="0" applyNumberFormat="1" applyFill="1" applyBorder="1" applyAlignment="1" applyProtection="1">
      <alignment horizontal="center"/>
    </xf>
    <xf numFmtId="0" fontId="13" fillId="0" borderId="49" xfId="0" applyFont="1" applyFill="1" applyBorder="1" applyAlignment="1" applyProtection="1">
      <alignment horizontal="center"/>
    </xf>
    <xf numFmtId="1" fontId="0" fillId="0" borderId="25" xfId="0" applyNumberForma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164" fontId="55" fillId="0" borderId="29" xfId="0" applyNumberFormat="1" applyFont="1" applyBorder="1" applyAlignment="1" applyProtection="1">
      <alignment horizontal="center"/>
    </xf>
    <xf numFmtId="164" fontId="55" fillId="0" borderId="30" xfId="0" applyNumberFormat="1" applyFont="1" applyBorder="1" applyAlignment="1" applyProtection="1">
      <alignment horizontal="center"/>
    </xf>
    <xf numFmtId="0" fontId="13" fillId="0" borderId="56" xfId="0" applyFont="1" applyFill="1" applyBorder="1" applyAlignment="1" applyProtection="1">
      <alignment horizontal="center"/>
    </xf>
    <xf numFmtId="0" fontId="43" fillId="0" borderId="50" xfId="0" applyFont="1" applyBorder="1" applyAlignment="1" applyProtection="1">
      <alignment horizontal="center"/>
    </xf>
    <xf numFmtId="164" fontId="43" fillId="0" borderId="29" xfId="0" applyNumberFormat="1" applyFont="1" applyBorder="1" applyAlignment="1" applyProtection="1">
      <alignment horizontal="center"/>
    </xf>
    <xf numFmtId="164" fontId="43" fillId="0" borderId="30" xfId="0" applyNumberFormat="1" applyFont="1" applyBorder="1" applyAlignment="1" applyProtection="1">
      <alignment horizontal="center"/>
    </xf>
    <xf numFmtId="0" fontId="0" fillId="0" borderId="0" xfId="0" applyFill="1" applyProtection="1"/>
    <xf numFmtId="0" fontId="16" fillId="0" borderId="0" xfId="0" applyFont="1" applyProtection="1"/>
    <xf numFmtId="1" fontId="8" fillId="0" borderId="19" xfId="0" applyNumberFormat="1" applyFont="1" applyBorder="1" applyAlignment="1" applyProtection="1">
      <alignment horizontal="center"/>
    </xf>
    <xf numFmtId="1" fontId="8" fillId="0" borderId="20" xfId="0" applyNumberFormat="1" applyFont="1" applyBorder="1" applyAlignment="1" applyProtection="1">
      <alignment horizontal="center"/>
    </xf>
    <xf numFmtId="0" fontId="13" fillId="23" borderId="49" xfId="0" applyFont="1" applyFill="1" applyBorder="1" applyAlignment="1" applyProtection="1">
      <alignment horizontal="center"/>
    </xf>
    <xf numFmtId="0" fontId="1" fillId="0" borderId="46" xfId="0" applyFont="1" applyBorder="1" applyProtection="1"/>
    <xf numFmtId="1" fontId="0" fillId="0" borderId="19" xfId="0" applyNumberFormat="1" applyBorder="1" applyAlignment="1" applyProtection="1">
      <alignment horizontal="center"/>
    </xf>
    <xf numFmtId="1" fontId="0" fillId="0" borderId="20" xfId="0" applyNumberFormat="1" applyBorder="1" applyAlignment="1" applyProtection="1">
      <alignment horizontal="center"/>
    </xf>
    <xf numFmtId="0" fontId="13" fillId="0" borderId="0" xfId="1" applyFont="1" applyProtection="1"/>
    <xf numFmtId="0" fontId="9" fillId="22" borderId="59" xfId="0" applyFont="1" applyFill="1" applyBorder="1" applyAlignment="1">
      <alignment horizontal="center" vertical="center" wrapText="1"/>
    </xf>
    <xf numFmtId="0" fontId="0" fillId="22" borderId="43" xfId="0" applyFill="1" applyBorder="1" applyAlignment="1">
      <alignment horizontal="center" vertical="center"/>
    </xf>
    <xf numFmtId="0" fontId="0" fillId="22" borderId="44" xfId="0" applyFill="1" applyBorder="1" applyAlignment="1">
      <alignment horizontal="center" vertical="center"/>
    </xf>
    <xf numFmtId="0" fontId="0" fillId="22" borderId="46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2" borderId="45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53" fillId="24" borderId="64" xfId="0" applyFont="1" applyFill="1" applyBorder="1" applyAlignment="1">
      <alignment horizontal="left"/>
    </xf>
    <xf numFmtId="0" fontId="0" fillId="24" borderId="65" xfId="0" applyFill="1" applyBorder="1" applyAlignment="1">
      <alignment horizontal="left"/>
    </xf>
    <xf numFmtId="0" fontId="21" fillId="0" borderId="5" xfId="0" applyFont="1" applyBorder="1" applyProtection="1"/>
    <xf numFmtId="0" fontId="0" fillId="0" borderId="6" xfId="0" applyBorder="1" applyProtection="1"/>
    <xf numFmtId="0" fontId="34" fillId="24" borderId="5" xfId="0" applyFont="1" applyFill="1" applyBorder="1" applyAlignment="1" applyProtection="1">
      <alignment horizontal="left" wrapText="1"/>
    </xf>
    <xf numFmtId="0" fontId="12" fillId="24" borderId="7" xfId="0" applyFont="1" applyFill="1" applyBorder="1" applyAlignment="1" applyProtection="1">
      <alignment horizontal="left" wrapText="1"/>
    </xf>
    <xf numFmtId="0" fontId="38" fillId="25" borderId="5" xfId="0" applyFont="1" applyFill="1" applyBorder="1" applyAlignment="1" applyProtection="1">
      <alignment horizontal="left" vertical="center"/>
    </xf>
    <xf numFmtId="0" fontId="39" fillId="24" borderId="7" xfId="0" applyFont="1" applyFill="1" applyBorder="1" applyAlignment="1" applyProtection="1">
      <alignment vertical="center"/>
    </xf>
    <xf numFmtId="0" fontId="38" fillId="25" borderId="5" xfId="0" applyFont="1" applyFill="1" applyBorder="1" applyAlignment="1" applyProtection="1">
      <alignment horizontal="left" vertical="center" wrapText="1"/>
    </xf>
    <xf numFmtId="0" fontId="33" fillId="24" borderId="7" xfId="0" applyFont="1" applyFill="1" applyBorder="1" applyAlignment="1" applyProtection="1">
      <alignment vertical="center"/>
    </xf>
    <xf numFmtId="0" fontId="32" fillId="24" borderId="5" xfId="0" applyFont="1" applyFill="1" applyBorder="1" applyAlignment="1" applyProtection="1">
      <alignment horizontal="center" vertical="center" wrapText="1"/>
    </xf>
    <xf numFmtId="0" fontId="26" fillId="24" borderId="6" xfId="0" applyFont="1" applyFill="1" applyBorder="1" applyAlignment="1" applyProtection="1">
      <alignment horizontal="center" vertical="center" wrapText="1"/>
    </xf>
    <xf numFmtId="0" fontId="26" fillId="24" borderId="7" xfId="0" applyFont="1" applyFill="1" applyBorder="1" applyAlignment="1" applyProtection="1">
      <alignment horizontal="center" vertical="center" wrapText="1"/>
    </xf>
    <xf numFmtId="0" fontId="27" fillId="24" borderId="5" xfId="0" applyFont="1" applyFill="1" applyBorder="1" applyAlignment="1" applyProtection="1">
      <alignment horizontal="center" vertical="center" wrapText="1"/>
    </xf>
    <xf numFmtId="0" fontId="4" fillId="24" borderId="6" xfId="0" applyFont="1" applyFill="1" applyBorder="1" applyAlignment="1" applyProtection="1">
      <alignment horizontal="center" vertical="center" wrapText="1"/>
    </xf>
    <xf numFmtId="0" fontId="0" fillId="24" borderId="6" xfId="0" applyFill="1" applyBorder="1" applyProtection="1"/>
    <xf numFmtId="0" fontId="0" fillId="24" borderId="7" xfId="0" applyFill="1" applyBorder="1" applyProtection="1"/>
    <xf numFmtId="0" fontId="34" fillId="24" borderId="7" xfId="0" applyFont="1" applyFill="1" applyBorder="1" applyAlignment="1" applyProtection="1">
      <alignment horizontal="left" wrapText="1"/>
    </xf>
    <xf numFmtId="0" fontId="38" fillId="25" borderId="1" xfId="0" applyFont="1" applyFill="1" applyBorder="1" applyAlignment="1" applyProtection="1">
      <alignment horizontal="left" vertical="center"/>
    </xf>
    <xf numFmtId="0" fontId="39" fillId="24" borderId="3" xfId="0" applyFont="1" applyFill="1" applyBorder="1" applyAlignment="1" applyProtection="1">
      <alignment horizontal="left" vertical="center"/>
    </xf>
    <xf numFmtId="0" fontId="14" fillId="14" borderId="41" xfId="0" applyFont="1" applyFill="1" applyBorder="1" applyAlignment="1" applyProtection="1">
      <alignment horizontal="center" vertical="center" wrapText="1"/>
    </xf>
    <xf numFmtId="0" fontId="5" fillId="14" borderId="42" xfId="0" applyFont="1" applyFill="1" applyBorder="1" applyAlignment="1" applyProtection="1">
      <alignment horizontal="center" vertical="center" wrapText="1"/>
    </xf>
    <xf numFmtId="0" fontId="45" fillId="0" borderId="43" xfId="0" applyFont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 wrapText="1"/>
    </xf>
    <xf numFmtId="0" fontId="2" fillId="15" borderId="47" xfId="0" applyFont="1" applyFill="1" applyBorder="1" applyAlignment="1" applyProtection="1">
      <alignment horizontal="center" vertical="center" wrapText="1"/>
    </xf>
    <xf numFmtId="0" fontId="2" fillId="15" borderId="48" xfId="0" applyFont="1" applyFill="1" applyBorder="1" applyAlignment="1" applyProtection="1">
      <alignment horizontal="center" vertical="center" wrapText="1"/>
    </xf>
    <xf numFmtId="0" fontId="2" fillId="15" borderId="76" xfId="0" applyFont="1" applyFill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2" fillId="16" borderId="47" xfId="0" applyFont="1" applyFill="1" applyBorder="1" applyAlignment="1" applyProtection="1">
      <alignment horizontal="center" vertical="center" wrapText="1"/>
    </xf>
    <xf numFmtId="0" fontId="2" fillId="16" borderId="48" xfId="0" applyFont="1" applyFill="1" applyBorder="1" applyAlignment="1" applyProtection="1">
      <alignment horizontal="center" vertical="center" wrapText="1"/>
    </xf>
    <xf numFmtId="0" fontId="2" fillId="16" borderId="76" xfId="0" applyFont="1" applyFill="1" applyBorder="1" applyAlignment="1" applyProtection="1">
      <alignment horizontal="center" vertical="center" wrapText="1"/>
    </xf>
    <xf numFmtId="0" fontId="2" fillId="17" borderId="47" xfId="0" applyFont="1" applyFill="1" applyBorder="1" applyAlignment="1" applyProtection="1">
      <alignment horizontal="center" vertical="center" wrapText="1"/>
    </xf>
    <xf numFmtId="0" fontId="2" fillId="17" borderId="48" xfId="0" applyFont="1" applyFill="1" applyBorder="1" applyAlignment="1" applyProtection="1">
      <alignment horizontal="center" vertical="center" wrapText="1"/>
    </xf>
    <xf numFmtId="0" fontId="2" fillId="17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2" fillId="16" borderId="8" xfId="0" applyFont="1" applyFill="1" applyBorder="1" applyAlignment="1" applyProtection="1">
      <alignment horizontal="center" vertical="center" wrapText="1"/>
    </xf>
    <xf numFmtId="0" fontId="2" fillId="15" borderId="8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EFECF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A to Essential'!A1"/><Relationship Id="rId3" Type="http://schemas.openxmlformats.org/officeDocument/2006/relationships/hyperlink" Target="#'Abbott Glutarex-1 to GA-1 EY'!A1"/><Relationship Id="rId7" Type="http://schemas.openxmlformats.org/officeDocument/2006/relationships/hyperlink" Target="#'GA to GA-1 EY'!A1"/><Relationship Id="rId2" Type="http://schemas.openxmlformats.org/officeDocument/2006/relationships/hyperlink" Target="#'DRIs GlutarAde Essential'!A1"/><Relationship Id="rId1" Type="http://schemas.openxmlformats.org/officeDocument/2006/relationships/hyperlink" Target="#'DRIs GA-1 Anamix Early Yrs'!A1"/><Relationship Id="rId6" Type="http://schemas.openxmlformats.org/officeDocument/2006/relationships/hyperlink" Target="#'Abbott Glutarex-1 to Essential '!A1"/><Relationship Id="rId5" Type="http://schemas.openxmlformats.org/officeDocument/2006/relationships/hyperlink" Target="#'GA-1 EY to GlutarAde Essential'!A1"/><Relationship Id="rId10" Type="http://schemas.openxmlformats.org/officeDocument/2006/relationships/image" Target="../media/image2.jpeg"/><Relationship Id="rId4" Type="http://schemas.openxmlformats.org/officeDocument/2006/relationships/hyperlink" Target="#'DRIs GlutarAde Junior'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3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467128</xdr:colOff>
      <xdr:row>30</xdr:row>
      <xdr:rowOff>107637</xdr:rowOff>
    </xdr:from>
    <xdr:to>
      <xdr:col>22</xdr:col>
      <xdr:colOff>52855</xdr:colOff>
      <xdr:row>34</xdr:row>
      <xdr:rowOff>4480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38795" y="5547470"/>
          <a:ext cx="2760727" cy="61651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Abbott's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Glutarex®-1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114299</xdr:colOff>
      <xdr:row>12</xdr:row>
      <xdr:rowOff>6635</xdr:rowOff>
    </xdr:from>
    <xdr:to>
      <xdr:col>8</xdr:col>
      <xdr:colOff>571500</xdr:colOff>
      <xdr:row>30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0966" y="2207968"/>
          <a:ext cx="2997201" cy="3358865"/>
        </a:xfrm>
        <a:prstGeom prst="roundRect">
          <a:avLst>
            <a:gd name="adj" fmla="val 4488"/>
          </a:avLst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GA-1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GlutarAde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Junior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GlutarAde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Essential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DRI Charts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This is a great interactive tool to ensure your patients' nutritional needs are met!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appropriate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product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 </a:t>
          </a:r>
        </a:p>
        <a:p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of protein equivalent (PE) your patient receives from the product and 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enter key. You will then see in Column B the amount of macro- &amp; micro-nutrients your patient will receive with our product. Then look to the right to see how these values compare to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DRI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appropriate age group column.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301916</xdr:colOff>
      <xdr:row>11</xdr:row>
      <xdr:rowOff>179295</xdr:rowOff>
    </xdr:from>
    <xdr:to>
      <xdr:col>14</xdr:col>
      <xdr:colOff>571500</xdr:colOff>
      <xdr:row>28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49681" y="2319619"/>
          <a:ext cx="2690054" cy="3115234"/>
        </a:xfrm>
        <a:prstGeom prst="roundRect">
          <a:avLst>
            <a:gd name="adj" fmla="val 4356"/>
          </a:avLst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>
              <a:effectLst/>
              <a:latin typeface="+mn-lt"/>
              <a:cs typeface="Arial" panose="020B0604020202020204" pitchFamily="34" charset="0"/>
            </a:rPr>
            <a:t>-GA-1 Anamix® Early Years to GlutarAde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>
              <a:effectLst/>
              <a:latin typeface="+mn-lt"/>
              <a:cs typeface="Arial" panose="020B0604020202020204" pitchFamily="34" charset="0"/>
            </a:rPr>
            <a:t> Essential</a:t>
          </a:r>
        </a:p>
        <a:p>
          <a:pPr eaLnBrk="1" fontAlgn="auto" latinLnBrk="0" hangingPunct="1"/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</a:t>
          </a:r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from Early Years </a:t>
          </a:r>
        </a:p>
        <a:p>
          <a:pPr algn="ctr"/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the Next Stage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refer to the "GA-1 Anamix Early Years to GlutarAde Essential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tab at the bottom of the page.</a:t>
          </a:r>
          <a:endParaRPr lang="en-US" sz="1000">
            <a:solidFill>
              <a:srgbClr val="FF0000"/>
            </a:solidFill>
            <a:effectLst/>
          </a:endParaRP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ellow box type in the grams PE your patient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You will then see a breakdown in macronutrient for each of our products. 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4133</xdr:colOff>
      <xdr:row>34</xdr:row>
      <xdr:rowOff>165207</xdr:rowOff>
    </xdr:from>
    <xdr:to>
      <xdr:col>4</xdr:col>
      <xdr:colOff>491378</xdr:colOff>
      <xdr:row>37</xdr:row>
      <xdr:rowOff>176547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6074" y="6687031"/>
          <a:ext cx="1092363" cy="5828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baseline="0">
              <a:latin typeface="+mn-lt"/>
              <a:cs typeface="Arial" panose="020B0604020202020204" pitchFamily="34" charset="0"/>
            </a:rPr>
            <a:t>GA-1 Anamix Early Years DRIs</a:t>
          </a:r>
          <a:endParaRPr lang="en-US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75651</xdr:colOff>
      <xdr:row>34</xdr:row>
      <xdr:rowOff>185217</xdr:rowOff>
    </xdr:from>
    <xdr:to>
      <xdr:col>8</xdr:col>
      <xdr:colOff>549233</xdr:colOff>
      <xdr:row>38</xdr:row>
      <xdr:rowOff>9457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8063" y="6707041"/>
          <a:ext cx="1078699" cy="5862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GlutarAde Essential DRIs</a:t>
          </a:r>
          <a:endParaRPr lang="en-US" sz="900">
            <a:effectLst/>
          </a:endParaRPr>
        </a:p>
      </xdr:txBody>
    </xdr:sp>
    <xdr:clientData/>
  </xdr:twoCellAnchor>
  <xdr:twoCellAnchor>
    <xdr:from>
      <xdr:col>19</xdr:col>
      <xdr:colOff>376899</xdr:colOff>
      <xdr:row>30</xdr:row>
      <xdr:rowOff>115987</xdr:rowOff>
    </xdr:from>
    <xdr:to>
      <xdr:col>22</xdr:col>
      <xdr:colOff>44825</xdr:colOff>
      <xdr:row>32</xdr:row>
      <xdr:rowOff>11207</xdr:rowOff>
    </xdr:to>
    <xdr:sp macro="" textlink="">
      <xdr:nvSpPr>
        <xdr:cNvPr id="10" name="Text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70723" y="5875811"/>
          <a:ext cx="1483278" cy="276220"/>
        </a:xfrm>
        <a:prstGeom prst="rect">
          <a:avLst/>
        </a:prstGeom>
        <a:solidFill>
          <a:schemeClr val="accent6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GA-1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409573</xdr:colOff>
      <xdr:row>28</xdr:row>
      <xdr:rowOff>132247</xdr:rowOff>
    </xdr:from>
    <xdr:to>
      <xdr:col>14</xdr:col>
      <xdr:colOff>430740</xdr:colOff>
      <xdr:row>31</xdr:row>
      <xdr:rowOff>109060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336240" y="5212247"/>
          <a:ext cx="2561167" cy="516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Click here to visit </a:t>
          </a:r>
        </a:p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the tab you need!   </a:t>
          </a:r>
        </a:p>
      </xdr:txBody>
    </xdr:sp>
    <xdr:clientData/>
  </xdr:twoCellAnchor>
  <xdr:twoCellAnchor>
    <xdr:from>
      <xdr:col>13</xdr:col>
      <xdr:colOff>523971</xdr:colOff>
      <xdr:row>30</xdr:row>
      <xdr:rowOff>104582</xdr:rowOff>
    </xdr:from>
    <xdr:to>
      <xdr:col>17</xdr:col>
      <xdr:colOff>181841</xdr:colOff>
      <xdr:row>33</xdr:row>
      <xdr:rowOff>43296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8421062" y="5594446"/>
          <a:ext cx="2220961" cy="48423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482187</xdr:colOff>
      <xdr:row>30</xdr:row>
      <xdr:rowOff>115709</xdr:rowOff>
    </xdr:from>
    <xdr:to>
      <xdr:col>11</xdr:col>
      <xdr:colOff>319688</xdr:colOff>
      <xdr:row>33</xdr:row>
      <xdr:rowOff>77301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893869" y="5605573"/>
          <a:ext cx="3041364" cy="50711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44268</xdr:colOff>
      <xdr:row>34</xdr:row>
      <xdr:rowOff>173694</xdr:rowOff>
    </xdr:from>
    <xdr:to>
      <xdr:col>6</xdr:col>
      <xdr:colOff>522433</xdr:colOff>
      <xdr:row>37</xdr:row>
      <xdr:rowOff>188434</xdr:rowOff>
    </xdr:to>
    <xdr:sp macro="" textlink="">
      <xdr:nvSpPr>
        <xdr:cNvPr id="20" name="TextBox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66444" y="6695518"/>
          <a:ext cx="1083283" cy="5862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GlutarAde Junior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DRIs</a:t>
          </a:r>
          <a:endParaRPr lang="en-US" sz="900">
            <a:effectLst/>
          </a:endParaRPr>
        </a:p>
      </xdr:txBody>
    </xdr:sp>
    <xdr:clientData/>
  </xdr:twoCellAnchor>
  <xdr:twoCellAnchor>
    <xdr:from>
      <xdr:col>11</xdr:col>
      <xdr:colOff>454217</xdr:colOff>
      <xdr:row>34</xdr:row>
      <xdr:rowOff>53591</xdr:rowOff>
    </xdr:from>
    <xdr:to>
      <xdr:col>13</xdr:col>
      <xdr:colOff>492878</xdr:colOff>
      <xdr:row>37</xdr:row>
      <xdr:rowOff>171931</xdr:rowOff>
    </xdr:to>
    <xdr:sp macro="" textlink="">
      <xdr:nvSpPr>
        <xdr:cNvPr id="19" name="TextBox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069762" y="6270818"/>
          <a:ext cx="1320207" cy="66386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GA-1 Anamix Early Years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GlutarAde Essential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455643</xdr:colOff>
      <xdr:row>34</xdr:row>
      <xdr:rowOff>68902</xdr:rowOff>
    </xdr:from>
    <xdr:to>
      <xdr:col>22</xdr:col>
      <xdr:colOff>69789</xdr:colOff>
      <xdr:row>37</xdr:row>
      <xdr:rowOff>158750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22018" y="6307777"/>
          <a:ext cx="2789146" cy="63753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Mead Johnson's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GA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581024</xdr:colOff>
      <xdr:row>11</xdr:row>
      <xdr:rowOff>134471</xdr:rowOff>
    </xdr:from>
    <xdr:to>
      <xdr:col>20</xdr:col>
      <xdr:colOff>428625</xdr:colOff>
      <xdr:row>29</xdr:row>
      <xdr:rowOff>33617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4377" y="2274795"/>
          <a:ext cx="2873189" cy="3328146"/>
        </a:xfrm>
        <a:prstGeom prst="roundRect">
          <a:avLst>
            <a:gd name="adj" fmla="val 4488"/>
          </a:avLst>
        </a:prstGeom>
        <a:solidFill>
          <a:schemeClr val="accent6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Glutarex-1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GA-1 Early Years,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GlutarAde Essential</a:t>
          </a:r>
          <a:endParaRPr lang="en-US" sz="900">
            <a:effectLst/>
          </a:endParaRPr>
        </a:p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GA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GA-1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Early Years, GlutarAde Essential</a:t>
          </a:r>
          <a:endParaRPr lang="en-US" sz="900">
            <a:effectLst/>
          </a:endParaRPr>
        </a:p>
        <a:p>
          <a:pPr algn="ctr" eaLnBrk="1" fontAlgn="auto" latinLnBrk="0" hangingPunct="1"/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 from Other Brands</a:t>
          </a:r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Anamix or GlutarAde</a:t>
          </a:r>
        </a:p>
        <a:p>
          <a:pPr algn="ctr"/>
          <a:endParaRPr lang="en-US" sz="10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refer to the "Abbott Glutarex-1 to Early Yrs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", "</a:t>
          </a:r>
          <a:r>
            <a:rPr 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Abbott Glutarex-1 to GlutarAde Essential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", "MJ GA to Early Yrs", &amp; "MJ GA To GlutarAde Essential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tabs at the bottom of the page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PE your patient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You will then see multiple options for a step-by-step transition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381000</xdr:colOff>
      <xdr:row>32</xdr:row>
      <xdr:rowOff>95907</xdr:rowOff>
    </xdr:from>
    <xdr:to>
      <xdr:col>22</xdr:col>
      <xdr:colOff>48000</xdr:colOff>
      <xdr:row>33</xdr:row>
      <xdr:rowOff>180696</xdr:rowOff>
    </xdr:to>
    <xdr:sp macro="" textlink="">
      <xdr:nvSpPr>
        <xdr:cNvPr id="33" name="TextBox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37088E9-7F3D-41A9-92F0-DE8EE2A8A6C6}"/>
            </a:ext>
          </a:extLst>
        </xdr:cNvPr>
        <xdr:cNvSpPr txBox="1"/>
      </xdr:nvSpPr>
      <xdr:spPr>
        <a:xfrm>
          <a:off x="12017375" y="5969657"/>
          <a:ext cx="1572000" cy="267352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GlutarAde Essential</a:t>
          </a:r>
        </a:p>
      </xdr:txBody>
    </xdr:sp>
    <xdr:clientData/>
  </xdr:twoCellAnchor>
  <xdr:twoCellAnchor>
    <xdr:from>
      <xdr:col>19</xdr:col>
      <xdr:colOff>379225</xdr:colOff>
      <xdr:row>34</xdr:row>
      <xdr:rowOff>80016</xdr:rowOff>
    </xdr:from>
    <xdr:to>
      <xdr:col>22</xdr:col>
      <xdr:colOff>54255</xdr:colOff>
      <xdr:row>35</xdr:row>
      <xdr:rowOff>157442</xdr:rowOff>
    </xdr:to>
    <xdr:sp macro="" textlink="">
      <xdr:nvSpPr>
        <xdr:cNvPr id="37" name="TextBox 3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08EA26E-D737-4146-830D-A6020BBD954F}"/>
            </a:ext>
          </a:extLst>
        </xdr:cNvPr>
        <xdr:cNvSpPr txBox="1"/>
      </xdr:nvSpPr>
      <xdr:spPr>
        <a:xfrm>
          <a:off x="12015600" y="6318891"/>
          <a:ext cx="1580030" cy="259989"/>
        </a:xfrm>
        <a:prstGeom prst="rect">
          <a:avLst/>
        </a:prstGeom>
        <a:solidFill>
          <a:schemeClr val="accent5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GA-1 Early Yea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399955</xdr:colOff>
      <xdr:row>36</xdr:row>
      <xdr:rowOff>68529</xdr:rowOff>
    </xdr:from>
    <xdr:to>
      <xdr:col>22</xdr:col>
      <xdr:colOff>57430</xdr:colOff>
      <xdr:row>37</xdr:row>
      <xdr:rowOff>153318</xdr:rowOff>
    </xdr:to>
    <xdr:sp macro="" textlink="">
      <xdr:nvSpPr>
        <xdr:cNvPr id="39" name="TextBox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E229029-089D-46F7-B14F-05C8EADBB58C}"/>
            </a:ext>
          </a:extLst>
        </xdr:cNvPr>
        <xdr:cNvSpPr txBox="1"/>
      </xdr:nvSpPr>
      <xdr:spPr>
        <a:xfrm>
          <a:off x="12036330" y="6672529"/>
          <a:ext cx="1562475" cy="267352"/>
        </a:xfrm>
        <a:prstGeom prst="rect">
          <a:avLst/>
        </a:prstGeom>
        <a:solidFill>
          <a:schemeClr val="accent5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GlutarAde Essential</a:t>
          </a:r>
        </a:p>
      </xdr:txBody>
    </xdr:sp>
    <xdr:clientData/>
  </xdr:twoCellAnchor>
  <xdr:twoCellAnchor editAs="oneCell">
    <xdr:from>
      <xdr:col>1</xdr:col>
      <xdr:colOff>437357</xdr:colOff>
      <xdr:row>0</xdr:row>
      <xdr:rowOff>166689</xdr:rowOff>
    </xdr:from>
    <xdr:to>
      <xdr:col>4</xdr:col>
      <xdr:colOff>201083</xdr:colOff>
      <xdr:row>11</xdr:row>
      <xdr:rowOff>84666</xdr:rowOff>
    </xdr:to>
    <xdr:pic>
      <xdr:nvPicPr>
        <xdr:cNvPr id="29" name="Picture 28" descr="R:\Linda\Anamix Early Years Images\GA-1 Anamix Early Years.png">
          <a:extLst>
            <a:ext uri="{FF2B5EF4-FFF2-40B4-BE49-F238E27FC236}">
              <a16:creationId xmlns:a16="http://schemas.microsoft.com/office/drawing/2014/main" id="{FC83C847-512E-477F-86DB-1E4A199DEF88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024" y="166689"/>
          <a:ext cx="1668726" cy="19393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63501</xdr:colOff>
      <xdr:row>2</xdr:row>
      <xdr:rowOff>130174</xdr:rowOff>
    </xdr:from>
    <xdr:to>
      <xdr:col>22</xdr:col>
      <xdr:colOff>592668</xdr:colOff>
      <xdr:row>11</xdr:row>
      <xdr:rowOff>38099</xdr:rowOff>
    </xdr:to>
    <xdr:pic>
      <xdr:nvPicPr>
        <xdr:cNvPr id="36" name="Picture 35" descr="GlutarAde® Essential">
          <a:extLst>
            <a:ext uri="{FF2B5EF4-FFF2-40B4-BE49-F238E27FC236}">
              <a16:creationId xmlns:a16="http://schemas.microsoft.com/office/drawing/2014/main" id="{E0140010-5EC6-4496-B074-7EBAE9BA4F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68" t="8884" r="10876" b="6536"/>
        <a:stretch/>
      </xdr:blipFill>
      <xdr:spPr bwMode="auto">
        <a:xfrm>
          <a:off x="12975168" y="511174"/>
          <a:ext cx="1164167" cy="154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424296</xdr:colOff>
      <xdr:row>31</xdr:row>
      <xdr:rowOff>88131</xdr:rowOff>
    </xdr:from>
    <xdr:to>
      <xdr:col>12</xdr:col>
      <xdr:colOff>427472</xdr:colOff>
      <xdr:row>33</xdr:row>
      <xdr:rowOff>121228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9E74AAA6-23FD-425A-997C-8D84CD5E35FD}"/>
            </a:ext>
          </a:extLst>
        </xdr:cNvPr>
        <xdr:cNvCxnSpPr/>
      </xdr:nvCxnSpPr>
      <xdr:spPr>
        <a:xfrm flipH="1">
          <a:off x="7680614" y="5759836"/>
          <a:ext cx="3176" cy="396778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21167</xdr:colOff>
      <xdr:row>38</xdr:row>
      <xdr:rowOff>102658</xdr:rowOff>
    </xdr:from>
    <xdr:to>
      <xdr:col>12</xdr:col>
      <xdr:colOff>492125</xdr:colOff>
      <xdr:row>43</xdr:row>
      <xdr:rowOff>7144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7F1C24-D6C8-461E-9864-80BF7297DBDB}"/>
            </a:ext>
          </a:extLst>
        </xdr:cNvPr>
        <xdr:cNvSpPr txBox="1"/>
      </xdr:nvSpPr>
      <xdr:spPr>
        <a:xfrm>
          <a:off x="862542" y="7071783"/>
          <a:ext cx="6820958" cy="8172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latin typeface="Arial" panose="020B0604020202020204" pitchFamily="34" charset="0"/>
              <a:cs typeface="Arial" panose="020B0604020202020204" pitchFamily="34" charset="0"/>
            </a:rPr>
            <a:t>Further Questions/Assistance?</a:t>
          </a:r>
        </a:p>
        <a:p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Please reach out to our Nutrition Services Department: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2200" b="1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→</a:t>
          </a:r>
          <a:r>
            <a:rPr lang="en-US" sz="2200" b="1" baseline="0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u="none">
              <a:latin typeface="Arial" panose="020B0604020202020204" pitchFamily="34" charset="0"/>
              <a:cs typeface="Arial" panose="020B0604020202020204" pitchFamily="34" charset="0"/>
            </a:rPr>
            <a:t>Email</a:t>
          </a:r>
          <a:r>
            <a:rPr lang="en-US" sz="1100" b="1" u="none">
              <a:latin typeface="Arial" panose="020B0604020202020204" pitchFamily="34" charset="0"/>
              <a:cs typeface="Arial" panose="020B0604020202020204" pitchFamily="34" charset="0"/>
            </a:rPr>
            <a:t> NutritionServices@nutricia.com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or call 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1-800-365-7354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Mon-Fri from 8:30 am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- 5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 pm EST)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10</xdr:col>
      <xdr:colOff>470430</xdr:colOff>
      <xdr:row>5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77150" y="1743075"/>
          <a:ext cx="1299105" cy="5334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7</xdr:col>
      <xdr:colOff>695325</xdr:colOff>
      <xdr:row>0</xdr:row>
      <xdr:rowOff>0</xdr:rowOff>
    </xdr:from>
    <xdr:to>
      <xdr:col>10</xdr:col>
      <xdr:colOff>256917</xdr:colOff>
      <xdr:row>2</xdr:row>
      <xdr:rowOff>430742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BB4B26-0911-4F08-A19D-0AC4798A9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7908" y="0"/>
          <a:ext cx="1347001" cy="15769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0</xdr:rowOff>
    </xdr:from>
    <xdr:to>
      <xdr:col>12</xdr:col>
      <xdr:colOff>495541</xdr:colOff>
      <xdr:row>6</xdr:row>
      <xdr:rowOff>46759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9771-68E8-4C98-A7B1-AADDE2838A76}"/>
            </a:ext>
          </a:extLst>
        </xdr:cNvPr>
        <xdr:cNvSpPr txBox="1"/>
      </xdr:nvSpPr>
      <xdr:spPr>
        <a:xfrm>
          <a:off x="7827818" y="1731818"/>
          <a:ext cx="1292178" cy="618259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35984</xdr:colOff>
      <xdr:row>0</xdr:row>
      <xdr:rowOff>105833</xdr:rowOff>
    </xdr:from>
    <xdr:to>
      <xdr:col>12</xdr:col>
      <xdr:colOff>359834</xdr:colOff>
      <xdr:row>2</xdr:row>
      <xdr:rowOff>476824</xdr:rowOff>
    </xdr:to>
    <xdr:pic>
      <xdr:nvPicPr>
        <xdr:cNvPr id="6" name="Picture 5" descr="NutriciaMetabolics - GlutarAde® Junior">
          <a:extLst>
            <a:ext uri="{FF2B5EF4-FFF2-40B4-BE49-F238E27FC236}">
              <a16:creationId xmlns:a16="http://schemas.microsoft.com/office/drawing/2014/main" id="{C2ECBE33-9BC7-4440-B16E-711156B7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2817" y="105833"/>
          <a:ext cx="1255184" cy="1513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60614</xdr:colOff>
      <xdr:row>3</xdr:row>
      <xdr:rowOff>25978</xdr:rowOff>
    </xdr:from>
    <xdr:to>
      <xdr:col>12</xdr:col>
      <xdr:colOff>460905</xdr:colOff>
      <xdr:row>6</xdr:row>
      <xdr:rowOff>72737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83144-B673-4AC1-9A52-FCB65D6AE656}"/>
            </a:ext>
          </a:extLst>
        </xdr:cNvPr>
        <xdr:cNvSpPr txBox="1"/>
      </xdr:nvSpPr>
      <xdr:spPr>
        <a:xfrm>
          <a:off x="7793182" y="1757796"/>
          <a:ext cx="1292178" cy="618259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120650</xdr:colOff>
      <xdr:row>0</xdr:row>
      <xdr:rowOff>28576</xdr:rowOff>
    </xdr:from>
    <xdr:to>
      <xdr:col>12</xdr:col>
      <xdr:colOff>477308</xdr:colOff>
      <xdr:row>2</xdr:row>
      <xdr:rowOff>438266</xdr:rowOff>
    </xdr:to>
    <xdr:pic>
      <xdr:nvPicPr>
        <xdr:cNvPr id="8" name="Picture 7" descr="GlutarAde® Essential">
          <a:extLst>
            <a:ext uri="{FF2B5EF4-FFF2-40B4-BE49-F238E27FC236}">
              <a16:creationId xmlns:a16="http://schemas.microsoft.com/office/drawing/2014/main" id="{69ABDB5F-EE18-4929-90A1-E21BC1E7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7483" y="28576"/>
          <a:ext cx="1287992" cy="1552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136525</xdr:colOff>
      <xdr:row>14</xdr:row>
      <xdr:rowOff>60325</xdr:rowOff>
    </xdr:from>
    <xdr:to>
      <xdr:col>10</xdr:col>
      <xdr:colOff>425450</xdr:colOff>
      <xdr:row>17</xdr:row>
      <xdr:rowOff>69850</xdr:rowOff>
    </xdr:to>
    <xdr:cxnSp macro="">
      <xdr:nvCxnSpPr>
        <xdr:cNvPr id="2" name="Curved Connector 3">
          <a:extLst>
            <a:ext uri="{FF2B5EF4-FFF2-40B4-BE49-F238E27FC236}">
              <a16:creationId xmlns:a16="http://schemas.microsoft.com/office/drawing/2014/main" id="{DEBF848A-CC8D-4093-B94C-07CA22FCE62E}"/>
            </a:ext>
          </a:extLst>
        </xdr:cNvPr>
        <xdr:cNvCxnSpPr/>
      </xdr:nvCxnSpPr>
      <xdr:spPr>
        <a:xfrm flipV="1">
          <a:off x="7978775" y="3248025"/>
          <a:ext cx="930275" cy="377825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0</xdr:row>
      <xdr:rowOff>104775</xdr:rowOff>
    </xdr:from>
    <xdr:to>
      <xdr:col>15</xdr:col>
      <xdr:colOff>489480</xdr:colOff>
      <xdr:row>1</xdr:row>
      <xdr:rowOff>66675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B3421-D908-4C39-BD48-829F6FC9110A}"/>
            </a:ext>
          </a:extLst>
        </xdr:cNvPr>
        <xdr:cNvSpPr txBox="1"/>
      </xdr:nvSpPr>
      <xdr:spPr>
        <a:xfrm>
          <a:off x="8772525" y="104775"/>
          <a:ext cx="1299105" cy="5334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7</xdr:col>
      <xdr:colOff>96981</xdr:colOff>
      <xdr:row>10</xdr:row>
      <xdr:rowOff>178666</xdr:rowOff>
    </xdr:from>
    <xdr:to>
      <xdr:col>9</xdr:col>
      <xdr:colOff>171962</xdr:colOff>
      <xdr:row>19</xdr:row>
      <xdr:rowOff>102899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E23A56-8B34-4C5B-8AB6-B63CAA93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0656" y="2598016"/>
          <a:ext cx="1351331" cy="1574174"/>
        </a:xfrm>
        <a:prstGeom prst="rect">
          <a:avLst/>
        </a:prstGeom>
      </xdr:spPr>
    </xdr:pic>
    <xdr:clientData/>
  </xdr:twoCellAnchor>
  <xdr:twoCellAnchor editAs="oneCell">
    <xdr:from>
      <xdr:col>10</xdr:col>
      <xdr:colOff>450102</xdr:colOff>
      <xdr:row>10</xdr:row>
      <xdr:rowOff>39035</xdr:rowOff>
    </xdr:from>
    <xdr:to>
      <xdr:col>12</xdr:col>
      <xdr:colOff>449418</xdr:colOff>
      <xdr:row>18</xdr:row>
      <xdr:rowOff>88176</xdr:rowOff>
    </xdr:to>
    <xdr:pic>
      <xdr:nvPicPr>
        <xdr:cNvPr id="10" name="Picture 9" descr="GlutarAde® Essential">
          <a:extLst>
            <a:ext uri="{FF2B5EF4-FFF2-40B4-BE49-F238E27FC236}">
              <a16:creationId xmlns:a16="http://schemas.microsoft.com/office/drawing/2014/main" id="{64DC4663-B001-4FE8-85AC-85A5F6C1E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8302" y="2458385"/>
          <a:ext cx="1275666" cy="1515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6491655" y="3997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0</xdr:row>
      <xdr:rowOff>123265</xdr:rowOff>
    </xdr:from>
    <xdr:to>
      <xdr:col>14</xdr:col>
      <xdr:colOff>476872</xdr:colOff>
      <xdr:row>1</xdr:row>
      <xdr:rowOff>84465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919882" y="123265"/>
          <a:ext cx="1294902" cy="5327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9</xdr:col>
      <xdr:colOff>461432</xdr:colOff>
      <xdr:row>13</xdr:row>
      <xdr:rowOff>1</xdr:rowOff>
    </xdr:from>
    <xdr:to>
      <xdr:col>12</xdr:col>
      <xdr:colOff>98341</xdr:colOff>
      <xdr:row>23</xdr:row>
      <xdr:rowOff>10584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CA182F-CED4-4464-9F2C-324716E5F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6849" y="3153834"/>
          <a:ext cx="1541909" cy="1827742"/>
        </a:xfrm>
        <a:prstGeom prst="rect">
          <a:avLst/>
        </a:prstGeom>
      </xdr:spPr>
    </xdr:pic>
    <xdr:clientData/>
  </xdr:twoCellAnchor>
  <xdr:twoCellAnchor editAs="oneCell">
    <xdr:from>
      <xdr:col>6</xdr:col>
      <xdr:colOff>102658</xdr:colOff>
      <xdr:row>20</xdr:row>
      <xdr:rowOff>7408</xdr:rowOff>
    </xdr:from>
    <xdr:to>
      <xdr:col>7</xdr:col>
      <xdr:colOff>578908</xdr:colOff>
      <xdr:row>26</xdr:row>
      <xdr:rowOff>29888</xdr:rowOff>
    </xdr:to>
    <xdr:pic>
      <xdr:nvPicPr>
        <xdr:cNvPr id="5" name="Picture 4" descr="Glutarex®-1">
          <a:extLst>
            <a:ext uri="{FF2B5EF4-FFF2-40B4-BE49-F238E27FC236}">
              <a16:creationId xmlns:a16="http://schemas.microsoft.com/office/drawing/2014/main" id="{DC603E6E-EB9C-41AF-A657-D2A4FE44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441825"/>
          <a:ext cx="1114425" cy="1109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9EE30BE7-58F5-4824-B3EF-54CDCB328722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B0FF2-ADCE-4092-8EC4-13442DA91A87}"/>
            </a:ext>
          </a:extLst>
        </xdr:cNvPr>
        <xdr:cNvSpPr txBox="1"/>
      </xdr:nvSpPr>
      <xdr:spPr>
        <a:xfrm>
          <a:off x="8931089" y="145677"/>
          <a:ext cx="1294902" cy="5327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186265</xdr:colOff>
      <xdr:row>19</xdr:row>
      <xdr:rowOff>148166</xdr:rowOff>
    </xdr:from>
    <xdr:to>
      <xdr:col>8</xdr:col>
      <xdr:colOff>123824</xdr:colOff>
      <xdr:row>26</xdr:row>
      <xdr:rowOff>76005</xdr:rowOff>
    </xdr:to>
    <xdr:pic>
      <xdr:nvPicPr>
        <xdr:cNvPr id="8" name="Picture 7" descr="Glutarex®-1">
          <a:extLst>
            <a:ext uri="{FF2B5EF4-FFF2-40B4-BE49-F238E27FC236}">
              <a16:creationId xmlns:a16="http://schemas.microsoft.com/office/drawing/2014/main" id="{BAA8884D-7649-44B5-90BC-B5266F2C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6682" y="4392083"/>
          <a:ext cx="1213909" cy="120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535516</xdr:colOff>
      <xdr:row>12</xdr:row>
      <xdr:rowOff>102658</xdr:rowOff>
    </xdr:from>
    <xdr:to>
      <xdr:col>11</xdr:col>
      <xdr:colOff>550333</xdr:colOff>
      <xdr:row>21</xdr:row>
      <xdr:rowOff>11757</xdr:rowOff>
    </xdr:to>
    <xdr:pic>
      <xdr:nvPicPr>
        <xdr:cNvPr id="9" name="Picture 8" descr="GlutarAde® Essential">
          <a:extLst>
            <a:ext uri="{FF2B5EF4-FFF2-40B4-BE49-F238E27FC236}">
              <a16:creationId xmlns:a16="http://schemas.microsoft.com/office/drawing/2014/main" id="{CE098C1F-61A7-4926-8448-6845C465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0933" y="3076575"/>
          <a:ext cx="1284817" cy="154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C364451E-379E-4193-BD05-3BCFF04F8CB4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67236</xdr:colOff>
      <xdr:row>0</xdr:row>
      <xdr:rowOff>123264</xdr:rowOff>
    </xdr:from>
    <xdr:to>
      <xdr:col>14</xdr:col>
      <xdr:colOff>465667</xdr:colOff>
      <xdr:row>1</xdr:row>
      <xdr:rowOff>84464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5FD58-0EC3-45A2-8C65-E355607B811B}"/>
            </a:ext>
          </a:extLst>
        </xdr:cNvPr>
        <xdr:cNvSpPr txBox="1"/>
      </xdr:nvSpPr>
      <xdr:spPr>
        <a:xfrm>
          <a:off x="8908677" y="123264"/>
          <a:ext cx="1294902" cy="5327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9</xdr:col>
      <xdr:colOff>447675</xdr:colOff>
      <xdr:row>10</xdr:row>
      <xdr:rowOff>49742</xdr:rowOff>
    </xdr:from>
    <xdr:to>
      <xdr:col>12</xdr:col>
      <xdr:colOff>84666</xdr:colOff>
      <xdr:row>20</xdr:row>
      <xdr:rowOff>25400</xdr:rowOff>
    </xdr:to>
    <xdr:pic>
      <xdr:nvPicPr>
        <xdr:cNvPr id="6" name="Picture 5" descr="R:\Linda\Anamix Early Years Images\GA-1 Anamix Early Years.png">
          <a:extLst>
            <a:ext uri="{FF2B5EF4-FFF2-40B4-BE49-F238E27FC236}">
              <a16:creationId xmlns:a16="http://schemas.microsoft.com/office/drawing/2014/main" id="{6F2BD0E8-D650-475E-9650-08528429B8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3092" y="2653242"/>
          <a:ext cx="1541991" cy="181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105834</xdr:colOff>
      <xdr:row>20</xdr:row>
      <xdr:rowOff>35983</xdr:rowOff>
    </xdr:from>
    <xdr:to>
      <xdr:col>7</xdr:col>
      <xdr:colOff>619310</xdr:colOff>
      <xdr:row>26</xdr:row>
      <xdr:rowOff>84666</xdr:rowOff>
    </xdr:to>
    <xdr:pic>
      <xdr:nvPicPr>
        <xdr:cNvPr id="8" name="Picture 7" descr="See the source image">
          <a:extLst>
            <a:ext uri="{FF2B5EF4-FFF2-40B4-BE49-F238E27FC236}">
              <a16:creationId xmlns:a16="http://schemas.microsoft.com/office/drawing/2014/main" id="{12BA3130-E78C-4EDE-B79D-20A934D6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1" y="4470400"/>
          <a:ext cx="1151651" cy="114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AEC24768-0D76-43A3-9BDA-B5B00699095A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23595-8179-4E1F-A8C3-149DD6A74E7C}"/>
            </a:ext>
          </a:extLst>
        </xdr:cNvPr>
        <xdr:cNvSpPr txBox="1"/>
      </xdr:nvSpPr>
      <xdr:spPr>
        <a:xfrm>
          <a:off x="8966948" y="145677"/>
          <a:ext cx="1293781" cy="532700"/>
        </a:xfrm>
        <a:prstGeom prst="rect">
          <a:avLst/>
        </a:prstGeom>
        <a:solidFill>
          <a:schemeClr val="accent3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9</xdr:col>
      <xdr:colOff>578908</xdr:colOff>
      <xdr:row>13</xdr:row>
      <xdr:rowOff>169334</xdr:rowOff>
    </xdr:from>
    <xdr:to>
      <xdr:col>11</xdr:col>
      <xdr:colOff>524933</xdr:colOff>
      <xdr:row>21</xdr:row>
      <xdr:rowOff>155184</xdr:rowOff>
    </xdr:to>
    <xdr:pic>
      <xdr:nvPicPr>
        <xdr:cNvPr id="6" name="Picture 5" descr="GlutarAde® Essential">
          <a:extLst>
            <a:ext uri="{FF2B5EF4-FFF2-40B4-BE49-F238E27FC236}">
              <a16:creationId xmlns:a16="http://schemas.microsoft.com/office/drawing/2014/main" id="{3217CFF0-3E79-417C-85E5-1068A7D1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3323167"/>
          <a:ext cx="1209675" cy="144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130174</xdr:colOff>
      <xdr:row>19</xdr:row>
      <xdr:rowOff>189441</xdr:rowOff>
    </xdr:from>
    <xdr:to>
      <xdr:col>8</xdr:col>
      <xdr:colOff>66674</xdr:colOff>
      <xdr:row>26</xdr:row>
      <xdr:rowOff>92085</xdr:rowOff>
    </xdr:to>
    <xdr:pic>
      <xdr:nvPicPr>
        <xdr:cNvPr id="7" name="Picture 6" descr="See the source image">
          <a:extLst>
            <a:ext uri="{FF2B5EF4-FFF2-40B4-BE49-F238E27FC236}">
              <a16:creationId xmlns:a16="http://schemas.microsoft.com/office/drawing/2014/main" id="{D344D994-E66B-4474-B1B0-0862551E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0591" y="4433358"/>
          <a:ext cx="1206500" cy="11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X47"/>
  <sheetViews>
    <sheetView showGridLines="0" showRowColHeaders="0" tabSelected="1" zoomScale="80" zoomScaleNormal="80" workbookViewId="0"/>
  </sheetViews>
  <sheetFormatPr defaultColWidth="9.1796875" defaultRowHeight="14.5" x14ac:dyDescent="0.35"/>
  <cols>
    <col min="1" max="1" width="3" customWidth="1"/>
  </cols>
  <sheetData>
    <row r="1" spans="2:24" ht="15" thickBot="1" x14ac:dyDescent="0.4"/>
    <row r="2" spans="2:24" ht="15" thickTop="1" x14ac:dyDescent="0.35"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</row>
    <row r="3" spans="2:24" ht="15" thickBot="1" x14ac:dyDescent="0.4">
      <c r="B3" s="18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21"/>
    </row>
    <row r="4" spans="2:24" x14ac:dyDescent="0.35">
      <c r="B4" s="18"/>
      <c r="C4" s="5"/>
      <c r="D4" s="6"/>
      <c r="E4" s="347" t="s">
        <v>99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9"/>
      <c r="V4" s="6"/>
      <c r="W4" s="7"/>
      <c r="X4" s="21"/>
    </row>
    <row r="5" spans="2:24" x14ac:dyDescent="0.35">
      <c r="B5" s="18"/>
      <c r="C5" s="5"/>
      <c r="D5" s="6"/>
      <c r="E5" s="350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2"/>
      <c r="V5" s="6"/>
      <c r="W5" s="7"/>
      <c r="X5" s="21"/>
    </row>
    <row r="6" spans="2:24" x14ac:dyDescent="0.35">
      <c r="B6" s="18"/>
      <c r="C6" s="5"/>
      <c r="D6" s="6"/>
      <c r="E6" s="350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2"/>
      <c r="V6" s="6"/>
      <c r="W6" s="7"/>
      <c r="X6" s="21"/>
    </row>
    <row r="7" spans="2:24" x14ac:dyDescent="0.35">
      <c r="B7" s="18"/>
      <c r="C7" s="5"/>
      <c r="D7" s="6"/>
      <c r="E7" s="350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2"/>
      <c r="V7" s="6"/>
      <c r="W7" s="7"/>
      <c r="X7" s="21"/>
    </row>
    <row r="8" spans="2:24" x14ac:dyDescent="0.35">
      <c r="B8" s="18"/>
      <c r="C8" s="5"/>
      <c r="D8" s="6"/>
      <c r="E8" s="350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2"/>
      <c r="V8" s="6"/>
      <c r="W8" s="7"/>
      <c r="X8" s="21"/>
    </row>
    <row r="9" spans="2:24" x14ac:dyDescent="0.35">
      <c r="B9" s="18"/>
      <c r="C9" s="5"/>
      <c r="D9" s="6"/>
      <c r="E9" s="350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2"/>
      <c r="V9" s="6"/>
      <c r="W9" s="7"/>
      <c r="X9" s="21"/>
    </row>
    <row r="10" spans="2:24" ht="15" thickBot="1" x14ac:dyDescent="0.4">
      <c r="B10" s="18"/>
      <c r="C10" s="5"/>
      <c r="D10" s="6"/>
      <c r="E10" s="353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5"/>
      <c r="W10" s="7"/>
      <c r="X10" s="21"/>
    </row>
    <row r="11" spans="2:24" x14ac:dyDescent="0.35">
      <c r="B11" s="18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21"/>
    </row>
    <row r="12" spans="2:24" x14ac:dyDescent="0.35">
      <c r="B12" s="18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21"/>
    </row>
    <row r="13" spans="2:24" x14ac:dyDescent="0.35">
      <c r="B13" s="18"/>
      <c r="C13" s="8"/>
      <c r="W13" s="9"/>
      <c r="X13" s="21"/>
    </row>
    <row r="14" spans="2:24" x14ac:dyDescent="0.35">
      <c r="B14" s="18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21"/>
    </row>
    <row r="15" spans="2:24" x14ac:dyDescent="0.35">
      <c r="B15" s="18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21"/>
    </row>
    <row r="16" spans="2:24" x14ac:dyDescent="0.35">
      <c r="B16" s="18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21"/>
    </row>
    <row r="17" spans="2:24" x14ac:dyDescent="0.35">
      <c r="B17" s="18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21"/>
    </row>
    <row r="18" spans="2:24" x14ac:dyDescent="0.35">
      <c r="B18" s="18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21"/>
    </row>
    <row r="19" spans="2:24" x14ac:dyDescent="0.35">
      <c r="B19" s="18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21"/>
    </row>
    <row r="20" spans="2:24" x14ac:dyDescent="0.35">
      <c r="B20" s="18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21"/>
    </row>
    <row r="21" spans="2:24" x14ac:dyDescent="0.35">
      <c r="B21" s="18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21"/>
    </row>
    <row r="22" spans="2:24" x14ac:dyDescent="0.35">
      <c r="B22" s="18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21"/>
    </row>
    <row r="23" spans="2:24" x14ac:dyDescent="0.35">
      <c r="B23" s="18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21"/>
    </row>
    <row r="24" spans="2:24" x14ac:dyDescent="0.35">
      <c r="B24" s="18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21"/>
    </row>
    <row r="25" spans="2:24" x14ac:dyDescent="0.35">
      <c r="B25" s="18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21"/>
    </row>
    <row r="26" spans="2:24" x14ac:dyDescent="0.35">
      <c r="B26" s="18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21"/>
    </row>
    <row r="27" spans="2:24" x14ac:dyDescent="0.35">
      <c r="B27" s="19"/>
      <c r="C27" s="8"/>
      <c r="W27" s="9"/>
      <c r="X27" s="21"/>
    </row>
    <row r="28" spans="2:24" x14ac:dyDescent="0.35">
      <c r="B28" s="18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21"/>
    </row>
    <row r="29" spans="2:24" x14ac:dyDescent="0.35">
      <c r="B29" s="18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21"/>
    </row>
    <row r="30" spans="2:24" x14ac:dyDescent="0.35">
      <c r="B30" s="18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21"/>
    </row>
    <row r="31" spans="2:24" x14ac:dyDescent="0.35">
      <c r="B31" s="18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21"/>
    </row>
    <row r="32" spans="2:24" x14ac:dyDescent="0.35">
      <c r="B32" s="18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21"/>
    </row>
    <row r="33" spans="2:24" x14ac:dyDescent="0.35">
      <c r="B33" s="18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21"/>
    </row>
    <row r="34" spans="2:24" x14ac:dyDescent="0.35">
      <c r="B34" s="18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21"/>
    </row>
    <row r="35" spans="2:24" x14ac:dyDescent="0.35">
      <c r="B35" s="18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21"/>
    </row>
    <row r="36" spans="2:24" x14ac:dyDescent="0.35">
      <c r="B36" s="18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21"/>
    </row>
    <row r="37" spans="2:24" x14ac:dyDescent="0.35">
      <c r="B37" s="18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21"/>
    </row>
    <row r="38" spans="2:24" x14ac:dyDescent="0.35">
      <c r="B38" s="18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21"/>
    </row>
    <row r="39" spans="2:24" x14ac:dyDescent="0.35">
      <c r="B39" s="18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</row>
    <row r="40" spans="2:24" x14ac:dyDescent="0.35">
      <c r="B40" s="18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</row>
    <row r="41" spans="2:24" x14ac:dyDescent="0.35">
      <c r="B41" s="1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</row>
    <row r="42" spans="2:24" x14ac:dyDescent="0.35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</row>
    <row r="43" spans="2:24" x14ac:dyDescent="0.35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</row>
    <row r="44" spans="2:24" x14ac:dyDescent="0.35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</row>
    <row r="45" spans="2:24" ht="15" thickBot="1" x14ac:dyDescent="0.4">
      <c r="B45" s="356" t="s">
        <v>110</v>
      </c>
      <c r="C45" s="357"/>
      <c r="D45" s="357"/>
      <c r="E45" s="357"/>
      <c r="F45" s="357"/>
      <c r="G45" s="357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3"/>
    </row>
    <row r="46" spans="2:24" ht="15" thickTop="1" x14ac:dyDescent="0.35">
      <c r="B46" s="16" t="s">
        <v>92</v>
      </c>
    </row>
    <row r="47" spans="2:24" x14ac:dyDescent="0.35">
      <c r="B47" t="s">
        <v>121</v>
      </c>
    </row>
  </sheetData>
  <sheetProtection algorithmName="SHA-512" hashValue="E8/7AJqMQkBKAujT1hG29qwqLMPSpxBkuBdwNJ1GSasrOoavUXVwMDD6DmHmt2TDRikuOAKFUGtiT2ksrTXBXA==" saltValue="myc+zFmNQ2OC1KFO8Ncy4Q==" spinCount="100000" sheet="1" objects="1" scenarios="1"/>
  <mergeCells count="2">
    <mergeCell ref="E4:U10"/>
    <mergeCell ref="B45:G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H51"/>
  <sheetViews>
    <sheetView showGridLines="0" zoomScale="90" zoomScaleNormal="90" workbookViewId="0">
      <selection activeCell="B2" sqref="B2"/>
    </sheetView>
  </sheetViews>
  <sheetFormatPr defaultColWidth="9.1796875" defaultRowHeight="14.5" x14ac:dyDescent="0.35"/>
  <cols>
    <col min="1" max="1" width="26.1796875" style="28" customWidth="1"/>
    <col min="2" max="2" width="14.26953125" style="28" customWidth="1"/>
    <col min="3" max="8" width="12.26953125" style="28" customWidth="1"/>
    <col min="9" max="9" width="4.26953125" style="28" customWidth="1"/>
    <col min="10" max="16384" width="9.1796875" style="28"/>
  </cols>
  <sheetData>
    <row r="1" spans="1:8" ht="15" thickBot="1" x14ac:dyDescent="0.4">
      <c r="A1" s="358" t="s">
        <v>0</v>
      </c>
      <c r="B1" s="359"/>
      <c r="C1" s="359"/>
      <c r="D1" s="359"/>
      <c r="E1" s="359"/>
      <c r="F1" s="359"/>
      <c r="G1" s="26"/>
      <c r="H1" s="27"/>
    </row>
    <row r="2" spans="1:8" ht="75" customHeight="1" thickBot="1" x14ac:dyDescent="0.4">
      <c r="A2" s="29" t="s">
        <v>64</v>
      </c>
      <c r="B2" s="15">
        <v>0</v>
      </c>
      <c r="C2" s="366" t="s">
        <v>93</v>
      </c>
      <c r="D2" s="367"/>
      <c r="E2" s="367"/>
      <c r="F2" s="367"/>
      <c r="G2" s="367"/>
      <c r="H2" s="368"/>
    </row>
    <row r="3" spans="1:8" ht="45" customHeight="1" thickBot="1" x14ac:dyDescent="0.5">
      <c r="A3" s="360" t="s">
        <v>110</v>
      </c>
      <c r="B3" s="361"/>
      <c r="C3" s="30" t="s">
        <v>82</v>
      </c>
      <c r="D3" s="30" t="s">
        <v>58</v>
      </c>
      <c r="E3" s="31" t="s">
        <v>83</v>
      </c>
      <c r="F3" s="31" t="s">
        <v>59</v>
      </c>
      <c r="G3" s="32" t="s">
        <v>57</v>
      </c>
      <c r="H3" s="32" t="s">
        <v>60</v>
      </c>
    </row>
    <row r="4" spans="1:8" x14ac:dyDescent="0.35">
      <c r="A4" s="33" t="s">
        <v>2</v>
      </c>
      <c r="B4" s="34">
        <f>B2*100/13.5</f>
        <v>0</v>
      </c>
      <c r="C4" s="35"/>
      <c r="D4" s="36"/>
      <c r="E4" s="35"/>
      <c r="F4" s="37"/>
      <c r="G4" s="38"/>
      <c r="H4" s="39"/>
    </row>
    <row r="5" spans="1:8" x14ac:dyDescent="0.35">
      <c r="A5" s="40" t="s">
        <v>68</v>
      </c>
      <c r="B5" s="41">
        <f>20/100*B4</f>
        <v>0</v>
      </c>
      <c r="C5" s="42"/>
      <c r="D5" s="43"/>
      <c r="E5" s="42"/>
      <c r="F5" s="44"/>
      <c r="G5" s="45"/>
      <c r="H5" s="46"/>
    </row>
    <row r="6" spans="1:8" x14ac:dyDescent="0.35">
      <c r="A6" s="47" t="s">
        <v>51</v>
      </c>
      <c r="B6" s="48">
        <f>473/100*B4</f>
        <v>0</v>
      </c>
      <c r="C6" s="49"/>
      <c r="D6" s="50"/>
      <c r="E6" s="49"/>
      <c r="F6" s="51"/>
      <c r="G6" s="52"/>
      <c r="H6" s="53"/>
    </row>
    <row r="7" spans="1:8" x14ac:dyDescent="0.35">
      <c r="A7" s="54" t="s">
        <v>4</v>
      </c>
      <c r="B7" s="55">
        <f>13.5/100*B4</f>
        <v>0</v>
      </c>
      <c r="C7" s="56">
        <v>9.1</v>
      </c>
      <c r="D7" s="57">
        <f>B7/C7</f>
        <v>0</v>
      </c>
      <c r="E7" s="58">
        <v>11</v>
      </c>
      <c r="F7" s="59">
        <f>B7/E7</f>
        <v>0</v>
      </c>
      <c r="G7" s="60">
        <v>13</v>
      </c>
      <c r="H7" s="61">
        <f>B7/G7</f>
        <v>0</v>
      </c>
    </row>
    <row r="8" spans="1:8" ht="14.25" customHeight="1" x14ac:dyDescent="0.35">
      <c r="A8" s="47" t="s">
        <v>5</v>
      </c>
      <c r="B8" s="48">
        <f>23/100*B4</f>
        <v>0</v>
      </c>
      <c r="C8" s="49">
        <v>31</v>
      </c>
      <c r="D8" s="50">
        <f>B8/C8</f>
        <v>0</v>
      </c>
      <c r="E8" s="49">
        <v>30</v>
      </c>
      <c r="F8" s="62">
        <f>B8/E8</f>
        <v>0</v>
      </c>
      <c r="G8" s="52" t="s">
        <v>22</v>
      </c>
      <c r="H8" s="53"/>
    </row>
    <row r="9" spans="1:8" x14ac:dyDescent="0.35">
      <c r="A9" s="63" t="s">
        <v>53</v>
      </c>
      <c r="B9" s="64">
        <f>7.5/100*B4</f>
        <v>0</v>
      </c>
      <c r="C9" s="65"/>
      <c r="D9" s="66"/>
      <c r="E9" s="65"/>
      <c r="F9" s="67"/>
      <c r="G9" s="68"/>
      <c r="H9" s="61"/>
    </row>
    <row r="10" spans="1:8" x14ac:dyDescent="0.35">
      <c r="A10" s="69" t="s">
        <v>54</v>
      </c>
      <c r="B10" s="70">
        <f>9.4/100*B4</f>
        <v>0</v>
      </c>
      <c r="C10" s="71"/>
      <c r="D10" s="72"/>
      <c r="E10" s="71"/>
      <c r="F10" s="73"/>
      <c r="G10" s="74"/>
      <c r="H10" s="75"/>
    </row>
    <row r="11" spans="1:8" x14ac:dyDescent="0.35">
      <c r="A11" s="63" t="s">
        <v>55</v>
      </c>
      <c r="B11" s="64">
        <f>5/100*B4</f>
        <v>0</v>
      </c>
      <c r="C11" s="65"/>
      <c r="D11" s="66"/>
      <c r="E11" s="65"/>
      <c r="F11" s="67"/>
      <c r="G11" s="68"/>
      <c r="H11" s="61"/>
    </row>
    <row r="12" spans="1:8" x14ac:dyDescent="0.35">
      <c r="A12" s="76" t="s">
        <v>65</v>
      </c>
      <c r="B12" s="77">
        <f>70/100*B4</f>
        <v>0</v>
      </c>
      <c r="C12" s="78"/>
      <c r="D12" s="79"/>
      <c r="E12" s="78"/>
      <c r="F12" s="80"/>
      <c r="G12" s="81"/>
      <c r="H12" s="82"/>
    </row>
    <row r="13" spans="1:8" x14ac:dyDescent="0.35">
      <c r="A13" s="83" t="s">
        <v>66</v>
      </c>
      <c r="B13" s="84">
        <f>140/100*B4</f>
        <v>0</v>
      </c>
      <c r="C13" s="85"/>
      <c r="D13" s="86"/>
      <c r="E13" s="85"/>
      <c r="F13" s="87"/>
      <c r="G13" s="88"/>
      <c r="H13" s="89"/>
    </row>
    <row r="14" spans="1:8" x14ac:dyDescent="0.35">
      <c r="A14" s="90" t="s">
        <v>67</v>
      </c>
      <c r="B14" s="91">
        <f>3500/100*B4</f>
        <v>0</v>
      </c>
      <c r="C14" s="92">
        <v>4400</v>
      </c>
      <c r="D14" s="93">
        <f>B14/C14</f>
        <v>0</v>
      </c>
      <c r="E14" s="92">
        <v>4600</v>
      </c>
      <c r="F14" s="94">
        <f>B14/E14</f>
        <v>0</v>
      </c>
      <c r="G14" s="95">
        <v>7000</v>
      </c>
      <c r="H14" s="82">
        <f>B14/G14</f>
        <v>0</v>
      </c>
    </row>
    <row r="15" spans="1:8" x14ac:dyDescent="0.35">
      <c r="A15" s="96" t="s">
        <v>6</v>
      </c>
      <c r="B15" s="97">
        <f>53/100*B4</f>
        <v>0</v>
      </c>
      <c r="C15" s="98">
        <v>60</v>
      </c>
      <c r="D15" s="99">
        <f>B15/C15</f>
        <v>0</v>
      </c>
      <c r="E15" s="98">
        <v>95</v>
      </c>
      <c r="F15" s="99">
        <f>B15/E15</f>
        <v>0</v>
      </c>
      <c r="G15" s="100">
        <v>130</v>
      </c>
      <c r="H15" s="101">
        <f>B15/G15</f>
        <v>0</v>
      </c>
    </row>
    <row r="16" spans="1:8" ht="15" thickBot="1" x14ac:dyDescent="0.4">
      <c r="A16" s="102" t="s">
        <v>48</v>
      </c>
      <c r="B16" s="103">
        <f>5.3/100*B4</f>
        <v>0</v>
      </c>
      <c r="C16" s="104" t="s">
        <v>22</v>
      </c>
      <c r="D16" s="105"/>
      <c r="E16" s="104" t="s">
        <v>22</v>
      </c>
      <c r="F16" s="106"/>
      <c r="G16" s="107">
        <v>19</v>
      </c>
      <c r="H16" s="108">
        <f>B16/G16</f>
        <v>0</v>
      </c>
    </row>
    <row r="17" spans="1:8" ht="38.25" customHeight="1" thickBot="1" x14ac:dyDescent="0.4">
      <c r="A17" s="362" t="s">
        <v>7</v>
      </c>
      <c r="B17" s="363"/>
      <c r="C17" s="109" t="s">
        <v>82</v>
      </c>
      <c r="D17" s="109" t="s">
        <v>58</v>
      </c>
      <c r="E17" s="110" t="s">
        <v>83</v>
      </c>
      <c r="F17" s="111" t="s">
        <v>59</v>
      </c>
      <c r="G17" s="32" t="s">
        <v>57</v>
      </c>
      <c r="H17" s="112" t="s">
        <v>60</v>
      </c>
    </row>
    <row r="18" spans="1:8" x14ac:dyDescent="0.35">
      <c r="A18" s="40" t="s">
        <v>8</v>
      </c>
      <c r="B18" s="41">
        <f>392/100*B4</f>
        <v>0</v>
      </c>
      <c r="C18" s="42">
        <v>400</v>
      </c>
      <c r="D18" s="43">
        <f t="shared" ref="D18:D44" si="0">B18/C18</f>
        <v>0</v>
      </c>
      <c r="E18" s="42">
        <v>500</v>
      </c>
      <c r="F18" s="113">
        <f t="shared" ref="F18:F31" si="1">B18/E18</f>
        <v>0</v>
      </c>
      <c r="G18" s="114">
        <v>300</v>
      </c>
      <c r="H18" s="115">
        <f t="shared" ref="H18:H31" si="2">B18/G18</f>
        <v>0</v>
      </c>
    </row>
    <row r="19" spans="1:8" x14ac:dyDescent="0.35">
      <c r="A19" s="47" t="s">
        <v>9</v>
      </c>
      <c r="B19" s="48">
        <f>8.7/100*B4</f>
        <v>0</v>
      </c>
      <c r="C19" s="49">
        <v>10</v>
      </c>
      <c r="D19" s="50">
        <f t="shared" si="0"/>
        <v>0</v>
      </c>
      <c r="E19" s="49">
        <v>10</v>
      </c>
      <c r="F19" s="62">
        <f t="shared" si="1"/>
        <v>0</v>
      </c>
      <c r="G19" s="116">
        <v>15</v>
      </c>
      <c r="H19" s="75">
        <f t="shared" si="2"/>
        <v>0</v>
      </c>
    </row>
    <row r="20" spans="1:8" x14ac:dyDescent="0.35">
      <c r="A20" s="117" t="s">
        <v>10</v>
      </c>
      <c r="B20" s="64">
        <f>7.3/100*B4</f>
        <v>0</v>
      </c>
      <c r="C20" s="65">
        <v>4</v>
      </c>
      <c r="D20" s="66">
        <f t="shared" si="0"/>
        <v>0</v>
      </c>
      <c r="E20" s="65">
        <v>5</v>
      </c>
      <c r="F20" s="67">
        <f t="shared" si="1"/>
        <v>0</v>
      </c>
      <c r="G20" s="60">
        <v>6</v>
      </c>
      <c r="H20" s="61">
        <f t="shared" si="2"/>
        <v>0</v>
      </c>
    </row>
    <row r="21" spans="1:8" x14ac:dyDescent="0.35">
      <c r="A21" s="47" t="s">
        <v>11</v>
      </c>
      <c r="B21" s="48">
        <f>38/100*B4</f>
        <v>0</v>
      </c>
      <c r="C21" s="52">
        <v>2</v>
      </c>
      <c r="D21" s="50">
        <f t="shared" si="0"/>
        <v>0</v>
      </c>
      <c r="E21" s="49">
        <v>2.5</v>
      </c>
      <c r="F21" s="62">
        <f t="shared" si="1"/>
        <v>0</v>
      </c>
      <c r="G21" s="118">
        <v>30</v>
      </c>
      <c r="H21" s="75">
        <f t="shared" si="2"/>
        <v>0</v>
      </c>
    </row>
    <row r="22" spans="1:8" x14ac:dyDescent="0.35">
      <c r="A22" s="117" t="s">
        <v>12</v>
      </c>
      <c r="B22" s="119">
        <f>0.5/100*B4</f>
        <v>0</v>
      </c>
      <c r="C22" s="65">
        <v>0.2</v>
      </c>
      <c r="D22" s="66">
        <f t="shared" si="0"/>
        <v>0</v>
      </c>
      <c r="E22" s="65">
        <v>0.3</v>
      </c>
      <c r="F22" s="67">
        <f t="shared" si="1"/>
        <v>0</v>
      </c>
      <c r="G22" s="120">
        <v>0.5</v>
      </c>
      <c r="H22" s="61">
        <f t="shared" si="2"/>
        <v>0</v>
      </c>
    </row>
    <row r="23" spans="1:8" x14ac:dyDescent="0.35">
      <c r="A23" s="47" t="s">
        <v>13</v>
      </c>
      <c r="B23" s="121">
        <f>0.5/100*B4</f>
        <v>0</v>
      </c>
      <c r="C23" s="49">
        <v>0.3</v>
      </c>
      <c r="D23" s="50">
        <f t="shared" si="0"/>
        <v>0</v>
      </c>
      <c r="E23" s="49">
        <v>0.4</v>
      </c>
      <c r="F23" s="62">
        <f t="shared" si="1"/>
        <v>0</v>
      </c>
      <c r="G23" s="122">
        <v>0.5</v>
      </c>
      <c r="H23" s="75">
        <f t="shared" si="2"/>
        <v>0</v>
      </c>
    </row>
    <row r="24" spans="1:8" x14ac:dyDescent="0.35">
      <c r="A24" s="117" t="s">
        <v>14</v>
      </c>
      <c r="B24" s="119">
        <f>0.5/100*B4</f>
        <v>0</v>
      </c>
      <c r="C24" s="65">
        <v>0.1</v>
      </c>
      <c r="D24" s="66">
        <f t="shared" si="0"/>
        <v>0</v>
      </c>
      <c r="E24" s="65">
        <v>0.3</v>
      </c>
      <c r="F24" s="67">
        <f t="shared" si="1"/>
        <v>0</v>
      </c>
      <c r="G24" s="120">
        <v>0.5</v>
      </c>
      <c r="H24" s="61">
        <f t="shared" si="2"/>
        <v>0</v>
      </c>
    </row>
    <row r="25" spans="1:8" x14ac:dyDescent="0.35">
      <c r="A25" s="47" t="s">
        <v>15</v>
      </c>
      <c r="B25" s="121">
        <f>1.2/100*B4</f>
        <v>0</v>
      </c>
      <c r="C25" s="49">
        <v>0.4</v>
      </c>
      <c r="D25" s="50">
        <f t="shared" si="0"/>
        <v>0</v>
      </c>
      <c r="E25" s="49">
        <v>0.5</v>
      </c>
      <c r="F25" s="62">
        <f t="shared" si="1"/>
        <v>0</v>
      </c>
      <c r="G25" s="122">
        <v>0.9</v>
      </c>
      <c r="H25" s="75">
        <f t="shared" si="2"/>
        <v>0</v>
      </c>
    </row>
    <row r="26" spans="1:8" x14ac:dyDescent="0.35">
      <c r="A26" s="117" t="s">
        <v>56</v>
      </c>
      <c r="B26" s="64">
        <f>2.2/100*B4</f>
        <v>0</v>
      </c>
      <c r="C26" s="65">
        <v>2</v>
      </c>
      <c r="D26" s="66">
        <f t="shared" si="0"/>
        <v>0</v>
      </c>
      <c r="E26" s="65">
        <v>4</v>
      </c>
      <c r="F26" s="67">
        <f t="shared" si="1"/>
        <v>0</v>
      </c>
      <c r="G26" s="60">
        <v>6</v>
      </c>
      <c r="H26" s="61">
        <f t="shared" si="2"/>
        <v>0</v>
      </c>
    </row>
    <row r="27" spans="1:8" x14ac:dyDescent="0.35">
      <c r="A27" s="47" t="s">
        <v>16</v>
      </c>
      <c r="B27" s="48">
        <f>55/100*B4</f>
        <v>0</v>
      </c>
      <c r="C27" s="49">
        <v>65</v>
      </c>
      <c r="D27" s="50">
        <f t="shared" si="0"/>
        <v>0</v>
      </c>
      <c r="E27" s="49">
        <v>80</v>
      </c>
      <c r="F27" s="62">
        <f t="shared" si="1"/>
        <v>0</v>
      </c>
      <c r="G27" s="116">
        <v>150</v>
      </c>
      <c r="H27" s="75">
        <f t="shared" si="2"/>
        <v>0</v>
      </c>
    </row>
    <row r="28" spans="1:8" x14ac:dyDescent="0.35">
      <c r="A28" s="117" t="s">
        <v>17</v>
      </c>
      <c r="B28" s="64">
        <f>2.8/100*B4</f>
        <v>0</v>
      </c>
      <c r="C28" s="65">
        <v>1.7</v>
      </c>
      <c r="D28" s="66">
        <f t="shared" si="0"/>
        <v>0</v>
      </c>
      <c r="E28" s="65">
        <v>1.8</v>
      </c>
      <c r="F28" s="67">
        <f t="shared" si="1"/>
        <v>0</v>
      </c>
      <c r="G28" s="123">
        <v>2</v>
      </c>
      <c r="H28" s="61">
        <f t="shared" si="2"/>
        <v>0</v>
      </c>
    </row>
    <row r="29" spans="1:8" x14ac:dyDescent="0.35">
      <c r="A29" s="47" t="s">
        <v>18</v>
      </c>
      <c r="B29" s="48">
        <f>18.2/100*B4</f>
        <v>0</v>
      </c>
      <c r="C29" s="49">
        <v>5</v>
      </c>
      <c r="D29" s="50">
        <f t="shared" si="0"/>
        <v>0</v>
      </c>
      <c r="E29" s="49">
        <v>6</v>
      </c>
      <c r="F29" s="62">
        <f t="shared" si="1"/>
        <v>0</v>
      </c>
      <c r="G29" s="118">
        <v>8</v>
      </c>
      <c r="H29" s="75">
        <f t="shared" si="2"/>
        <v>0</v>
      </c>
    </row>
    <row r="30" spans="1:8" x14ac:dyDescent="0.35">
      <c r="A30" s="117" t="s">
        <v>19</v>
      </c>
      <c r="B30" s="64">
        <f>49/100*B4</f>
        <v>0</v>
      </c>
      <c r="C30" s="65">
        <v>40</v>
      </c>
      <c r="D30" s="66">
        <f t="shared" si="0"/>
        <v>0</v>
      </c>
      <c r="E30" s="65">
        <v>50</v>
      </c>
      <c r="F30" s="67">
        <f t="shared" si="1"/>
        <v>0</v>
      </c>
      <c r="G30" s="60">
        <v>15</v>
      </c>
      <c r="H30" s="61">
        <f t="shared" si="2"/>
        <v>0</v>
      </c>
    </row>
    <row r="31" spans="1:8" x14ac:dyDescent="0.35">
      <c r="A31" s="47" t="s">
        <v>20</v>
      </c>
      <c r="B31" s="48">
        <f>91/100*B4</f>
        <v>0</v>
      </c>
      <c r="C31" s="49">
        <v>125</v>
      </c>
      <c r="D31" s="50">
        <f t="shared" si="0"/>
        <v>0</v>
      </c>
      <c r="E31" s="49">
        <v>150</v>
      </c>
      <c r="F31" s="62">
        <f t="shared" si="1"/>
        <v>0</v>
      </c>
      <c r="G31" s="118">
        <v>200</v>
      </c>
      <c r="H31" s="75">
        <f t="shared" si="2"/>
        <v>0</v>
      </c>
    </row>
    <row r="32" spans="1:8" ht="15" thickBot="1" x14ac:dyDescent="0.4">
      <c r="A32" s="124" t="s">
        <v>21</v>
      </c>
      <c r="B32" s="125">
        <f>98/100*B4</f>
        <v>0</v>
      </c>
      <c r="C32" s="126" t="s">
        <v>22</v>
      </c>
      <c r="D32" s="127"/>
      <c r="E32" s="126" t="s">
        <v>22</v>
      </c>
      <c r="F32" s="128"/>
      <c r="G32" s="129" t="s">
        <v>22</v>
      </c>
      <c r="H32" s="130"/>
    </row>
    <row r="33" spans="1:8" ht="37.5" customHeight="1" thickBot="1" x14ac:dyDescent="0.4">
      <c r="A33" s="364" t="s">
        <v>52</v>
      </c>
      <c r="B33" s="365"/>
      <c r="C33" s="109" t="s">
        <v>82</v>
      </c>
      <c r="D33" s="109" t="s">
        <v>58</v>
      </c>
      <c r="E33" s="110" t="s">
        <v>83</v>
      </c>
      <c r="F33" s="111" t="s">
        <v>59</v>
      </c>
      <c r="G33" s="32" t="s">
        <v>57</v>
      </c>
      <c r="H33" s="131" t="s">
        <v>60</v>
      </c>
    </row>
    <row r="34" spans="1:8" x14ac:dyDescent="0.35">
      <c r="A34" s="40" t="s">
        <v>24</v>
      </c>
      <c r="B34" s="132">
        <f>371/100*B4</f>
        <v>0</v>
      </c>
      <c r="C34" s="133">
        <v>200</v>
      </c>
      <c r="D34" s="134">
        <f t="shared" si="0"/>
        <v>0</v>
      </c>
      <c r="E34" s="133">
        <v>260</v>
      </c>
      <c r="F34" s="135">
        <f t="shared" ref="F34:F44" si="3">B34/E34</f>
        <v>0</v>
      </c>
      <c r="G34" s="136">
        <v>700</v>
      </c>
      <c r="H34" s="137">
        <f t="shared" ref="H34:H47" si="4">B34/G34</f>
        <v>0</v>
      </c>
    </row>
    <row r="35" spans="1:8" x14ac:dyDescent="0.35">
      <c r="A35" s="47" t="s">
        <v>25</v>
      </c>
      <c r="B35" s="70">
        <f>270/100*B4</f>
        <v>0</v>
      </c>
      <c r="C35" s="71">
        <v>100</v>
      </c>
      <c r="D35" s="72">
        <f t="shared" si="0"/>
        <v>0</v>
      </c>
      <c r="E35" s="71">
        <v>275</v>
      </c>
      <c r="F35" s="73">
        <f t="shared" si="3"/>
        <v>0</v>
      </c>
      <c r="G35" s="138">
        <v>460</v>
      </c>
      <c r="H35" s="75">
        <f t="shared" si="4"/>
        <v>0</v>
      </c>
    </row>
    <row r="36" spans="1:8" x14ac:dyDescent="0.35">
      <c r="A36" s="117" t="s">
        <v>26</v>
      </c>
      <c r="B36" s="139">
        <f>52.5/100*B4</f>
        <v>0</v>
      </c>
      <c r="C36" s="140">
        <v>30</v>
      </c>
      <c r="D36" s="141">
        <f t="shared" si="0"/>
        <v>0</v>
      </c>
      <c r="E36" s="140">
        <v>75</v>
      </c>
      <c r="F36" s="142">
        <f t="shared" si="3"/>
        <v>0</v>
      </c>
      <c r="G36" s="143">
        <v>80</v>
      </c>
      <c r="H36" s="144">
        <f t="shared" si="4"/>
        <v>0</v>
      </c>
    </row>
    <row r="37" spans="1:8" x14ac:dyDescent="0.35">
      <c r="A37" s="47" t="s">
        <v>27</v>
      </c>
      <c r="B37" s="70">
        <f>7.3/100*B4</f>
        <v>0</v>
      </c>
      <c r="C37" s="71">
        <v>0.27</v>
      </c>
      <c r="D37" s="72">
        <f t="shared" si="0"/>
        <v>0</v>
      </c>
      <c r="E37" s="145">
        <v>11</v>
      </c>
      <c r="F37" s="73">
        <f t="shared" si="3"/>
        <v>0</v>
      </c>
      <c r="G37" s="138">
        <v>7</v>
      </c>
      <c r="H37" s="75">
        <f t="shared" si="4"/>
        <v>0</v>
      </c>
    </row>
    <row r="38" spans="1:8" x14ac:dyDescent="0.35">
      <c r="A38" s="117" t="s">
        <v>28</v>
      </c>
      <c r="B38" s="139">
        <f>5.2/100*B4</f>
        <v>0</v>
      </c>
      <c r="C38" s="140">
        <v>2</v>
      </c>
      <c r="D38" s="141">
        <f t="shared" si="0"/>
        <v>0</v>
      </c>
      <c r="E38" s="146">
        <v>3</v>
      </c>
      <c r="F38" s="142">
        <f t="shared" si="3"/>
        <v>0</v>
      </c>
      <c r="G38" s="143">
        <v>3</v>
      </c>
      <c r="H38" s="144">
        <f t="shared" si="4"/>
        <v>0</v>
      </c>
    </row>
    <row r="39" spans="1:8" x14ac:dyDescent="0.35">
      <c r="A39" s="47" t="s">
        <v>29</v>
      </c>
      <c r="B39" s="147">
        <f>0.39/100*B4</f>
        <v>0</v>
      </c>
      <c r="C39" s="71">
        <v>3.0000000000000001E-3</v>
      </c>
      <c r="D39" s="72">
        <f t="shared" si="0"/>
        <v>0</v>
      </c>
      <c r="E39" s="71">
        <v>0.6</v>
      </c>
      <c r="F39" s="73">
        <f t="shared" si="3"/>
        <v>0</v>
      </c>
      <c r="G39" s="74">
        <v>1.2</v>
      </c>
      <c r="H39" s="75">
        <f t="shared" si="4"/>
        <v>0</v>
      </c>
    </row>
    <row r="40" spans="1:8" x14ac:dyDescent="0.35">
      <c r="A40" s="117" t="s">
        <v>30</v>
      </c>
      <c r="B40" s="139">
        <f>390/100*B4</f>
        <v>0</v>
      </c>
      <c r="C40" s="140">
        <v>200</v>
      </c>
      <c r="D40" s="141">
        <f t="shared" si="0"/>
        <v>0</v>
      </c>
      <c r="E40" s="140">
        <v>220</v>
      </c>
      <c r="F40" s="142">
        <f t="shared" si="3"/>
        <v>0</v>
      </c>
      <c r="G40" s="143">
        <v>340</v>
      </c>
      <c r="H40" s="144">
        <f t="shared" si="4"/>
        <v>0</v>
      </c>
    </row>
    <row r="41" spans="1:8" x14ac:dyDescent="0.35">
      <c r="A41" s="47" t="s">
        <v>31</v>
      </c>
      <c r="B41" s="70">
        <f>82.5/100*B4</f>
        <v>0</v>
      </c>
      <c r="C41" s="71">
        <v>110</v>
      </c>
      <c r="D41" s="72">
        <f t="shared" si="0"/>
        <v>0</v>
      </c>
      <c r="E41" s="71">
        <v>130</v>
      </c>
      <c r="F41" s="73">
        <f t="shared" si="3"/>
        <v>0</v>
      </c>
      <c r="G41" s="138">
        <v>90</v>
      </c>
      <c r="H41" s="75">
        <f t="shared" si="4"/>
        <v>0</v>
      </c>
    </row>
    <row r="42" spans="1:8" x14ac:dyDescent="0.35">
      <c r="A42" s="117" t="s">
        <v>32</v>
      </c>
      <c r="B42" s="139">
        <f>10.9/100*B4</f>
        <v>0</v>
      </c>
      <c r="C42" s="140">
        <v>2</v>
      </c>
      <c r="D42" s="141">
        <f t="shared" si="0"/>
        <v>0</v>
      </c>
      <c r="E42" s="140">
        <v>3</v>
      </c>
      <c r="F42" s="142">
        <f t="shared" si="3"/>
        <v>0</v>
      </c>
      <c r="G42" s="143">
        <v>17</v>
      </c>
      <c r="H42" s="144">
        <f t="shared" si="4"/>
        <v>0</v>
      </c>
    </row>
    <row r="43" spans="1:8" x14ac:dyDescent="0.35">
      <c r="A43" s="47" t="s">
        <v>33</v>
      </c>
      <c r="B43" s="70">
        <f>12.5/100*B4</f>
        <v>0</v>
      </c>
      <c r="C43" s="71">
        <v>0.2</v>
      </c>
      <c r="D43" s="72">
        <f t="shared" si="0"/>
        <v>0</v>
      </c>
      <c r="E43" s="71">
        <v>5.5</v>
      </c>
      <c r="F43" s="73">
        <f t="shared" si="3"/>
        <v>0</v>
      </c>
      <c r="G43" s="148">
        <v>11</v>
      </c>
      <c r="H43" s="75">
        <f t="shared" si="4"/>
        <v>0</v>
      </c>
    </row>
    <row r="44" spans="1:8" x14ac:dyDescent="0.35">
      <c r="A44" s="117" t="s">
        <v>34</v>
      </c>
      <c r="B44" s="139">
        <f>14.1/100*B4</f>
        <v>0</v>
      </c>
      <c r="C44" s="140">
        <v>15</v>
      </c>
      <c r="D44" s="141">
        <f t="shared" si="0"/>
        <v>0</v>
      </c>
      <c r="E44" s="140">
        <v>20</v>
      </c>
      <c r="F44" s="142">
        <f t="shared" si="3"/>
        <v>0</v>
      </c>
      <c r="G44" s="143">
        <v>20</v>
      </c>
      <c r="H44" s="144">
        <f t="shared" si="4"/>
        <v>0</v>
      </c>
    </row>
    <row r="45" spans="1:8" x14ac:dyDescent="0.35">
      <c r="A45" s="47" t="s">
        <v>35</v>
      </c>
      <c r="B45" s="70">
        <f>171/100*B4</f>
        <v>0</v>
      </c>
      <c r="C45" s="149">
        <v>110</v>
      </c>
      <c r="D45" s="72">
        <f>B45/C45</f>
        <v>0</v>
      </c>
      <c r="E45" s="149">
        <v>370</v>
      </c>
      <c r="F45" s="73">
        <f>B45/E45</f>
        <v>0</v>
      </c>
      <c r="G45" s="148">
        <v>800</v>
      </c>
      <c r="H45" s="75">
        <f t="shared" si="4"/>
        <v>0</v>
      </c>
    </row>
    <row r="46" spans="1:8" x14ac:dyDescent="0.35">
      <c r="A46" s="117" t="s">
        <v>36</v>
      </c>
      <c r="B46" s="139">
        <f>454/100*B4</f>
        <v>0</v>
      </c>
      <c r="C46" s="150">
        <v>400</v>
      </c>
      <c r="D46" s="141">
        <f>B46/C46</f>
        <v>0</v>
      </c>
      <c r="E46" s="150">
        <v>860</v>
      </c>
      <c r="F46" s="142">
        <f>B46/E46</f>
        <v>0</v>
      </c>
      <c r="G46" s="151">
        <v>2000</v>
      </c>
      <c r="H46" s="144">
        <f t="shared" si="4"/>
        <v>0</v>
      </c>
    </row>
    <row r="47" spans="1:8" ht="15" thickBot="1" x14ac:dyDescent="0.4">
      <c r="A47" s="152" t="s">
        <v>37</v>
      </c>
      <c r="B47" s="153">
        <f>321/100*B4</f>
        <v>0</v>
      </c>
      <c r="C47" s="154">
        <v>180</v>
      </c>
      <c r="D47" s="155">
        <f>B47/C47</f>
        <v>0</v>
      </c>
      <c r="E47" s="154">
        <v>570</v>
      </c>
      <c r="F47" s="156">
        <f>B47/E47</f>
        <v>0</v>
      </c>
      <c r="G47" s="157">
        <v>1500</v>
      </c>
      <c r="H47" s="158">
        <f t="shared" si="4"/>
        <v>0</v>
      </c>
    </row>
    <row r="48" spans="1:8" x14ac:dyDescent="0.35">
      <c r="A48" s="159" t="s">
        <v>62</v>
      </c>
    </row>
    <row r="49" spans="1:8" x14ac:dyDescent="0.35">
      <c r="A49" s="28" t="s">
        <v>63</v>
      </c>
    </row>
    <row r="50" spans="1:8" x14ac:dyDescent="0.35">
      <c r="A50" s="28" t="s">
        <v>61</v>
      </c>
      <c r="G50" s="160"/>
      <c r="H50" s="160"/>
    </row>
    <row r="51" spans="1:8" x14ac:dyDescent="0.35">
      <c r="A51" s="161" t="s">
        <v>111</v>
      </c>
    </row>
  </sheetData>
  <sheetProtection algorithmName="SHA-512" hashValue="U+5kHFidix5qiNRtH7u+9/aQaMzZ7MRgxeKRDRvxHQDhQYqO1RImNgNfkN33j5ONlnxqsmYA03o6ZdNp9eNl1Q==" saltValue="VHKjMmyRYSk7dohv4VndnA==" spinCount="100000" sheet="1" objects="1" scenarios="1"/>
  <mergeCells count="5">
    <mergeCell ref="A1:F1"/>
    <mergeCell ref="A3:B3"/>
    <mergeCell ref="A17:B17"/>
    <mergeCell ref="A33:B33"/>
    <mergeCell ref="C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J50"/>
  <sheetViews>
    <sheetView showGridLines="0" zoomScale="90" zoomScaleNormal="90" workbookViewId="0"/>
  </sheetViews>
  <sheetFormatPr defaultColWidth="9.1796875" defaultRowHeight="14.5" x14ac:dyDescent="0.35"/>
  <cols>
    <col min="1" max="1" width="26" style="28" customWidth="1"/>
    <col min="2" max="2" width="12.54296875" style="28" customWidth="1"/>
    <col min="3" max="6" width="9.1796875" style="28"/>
    <col min="7" max="7" width="10.1796875" style="28" customWidth="1"/>
    <col min="8" max="9" width="10.54296875" style="28" customWidth="1"/>
    <col min="10" max="10" width="9.81640625" style="28" customWidth="1"/>
    <col min="11" max="11" width="4.26953125" style="28" customWidth="1"/>
    <col min="12" max="16384" width="9.1796875" style="28"/>
  </cols>
  <sheetData>
    <row r="1" spans="1:10" ht="15" thickBot="1" x14ac:dyDescent="0.4">
      <c r="A1" s="162" t="s">
        <v>0</v>
      </c>
      <c r="B1" s="163" t="s">
        <v>1</v>
      </c>
      <c r="C1" s="163" t="s">
        <v>1</v>
      </c>
      <c r="D1" s="163" t="s">
        <v>1</v>
      </c>
      <c r="E1" s="163"/>
      <c r="F1" s="163"/>
      <c r="G1" s="164"/>
      <c r="H1" s="164"/>
      <c r="I1" s="164"/>
      <c r="J1" s="165"/>
    </row>
    <row r="2" spans="1:10" ht="75" customHeight="1" thickBot="1" x14ac:dyDescent="0.4">
      <c r="A2" s="166" t="s">
        <v>64</v>
      </c>
      <c r="B2" s="13">
        <v>0</v>
      </c>
      <c r="C2" s="369" t="s">
        <v>112</v>
      </c>
      <c r="D2" s="370"/>
      <c r="E2" s="370"/>
      <c r="F2" s="370"/>
      <c r="G2" s="371"/>
      <c r="H2" s="371"/>
      <c r="I2" s="371"/>
      <c r="J2" s="372"/>
    </row>
    <row r="3" spans="1:10" ht="44" thickBot="1" x14ac:dyDescent="0.4">
      <c r="A3" s="360" t="s">
        <v>116</v>
      </c>
      <c r="B3" s="373"/>
      <c r="C3" s="167" t="s">
        <v>75</v>
      </c>
      <c r="D3" s="167" t="s">
        <v>60</v>
      </c>
      <c r="E3" s="31" t="s">
        <v>76</v>
      </c>
      <c r="F3" s="168" t="s">
        <v>77</v>
      </c>
      <c r="G3" s="169" t="s">
        <v>78</v>
      </c>
      <c r="H3" s="169" t="s">
        <v>79</v>
      </c>
      <c r="I3" s="170" t="s">
        <v>80</v>
      </c>
      <c r="J3" s="170" t="s">
        <v>81</v>
      </c>
    </row>
    <row r="4" spans="1:10" x14ac:dyDescent="0.35">
      <c r="A4" s="171" t="s">
        <v>2</v>
      </c>
      <c r="B4" s="172">
        <f>B2*100/10</f>
        <v>0</v>
      </c>
      <c r="C4" s="173"/>
      <c r="D4" s="174"/>
      <c r="E4" s="173"/>
      <c r="F4" s="175"/>
      <c r="G4" s="176"/>
      <c r="H4" s="177"/>
      <c r="I4" s="177"/>
      <c r="J4" s="178"/>
    </row>
    <row r="5" spans="1:10" x14ac:dyDescent="0.35">
      <c r="A5" s="179" t="s">
        <v>101</v>
      </c>
      <c r="B5" s="180">
        <f>(100/9.8)/100*B4</f>
        <v>0</v>
      </c>
      <c r="C5" s="181"/>
      <c r="D5" s="182"/>
      <c r="E5" s="181"/>
      <c r="F5" s="183"/>
      <c r="G5" s="184"/>
      <c r="H5" s="185"/>
      <c r="I5" s="185"/>
      <c r="J5" s="186"/>
    </row>
    <row r="6" spans="1:10" x14ac:dyDescent="0.35">
      <c r="A6" s="187" t="s">
        <v>3</v>
      </c>
      <c r="B6" s="188">
        <f>410/100*B4</f>
        <v>0</v>
      </c>
      <c r="C6" s="189"/>
      <c r="D6" s="190"/>
      <c r="E6" s="189"/>
      <c r="F6" s="191"/>
      <c r="G6" s="192"/>
      <c r="H6" s="193"/>
      <c r="I6" s="193"/>
      <c r="J6" s="194"/>
    </row>
    <row r="7" spans="1:10" x14ac:dyDescent="0.35">
      <c r="A7" s="195" t="s">
        <v>4</v>
      </c>
      <c r="B7" s="196">
        <f>B2</f>
        <v>0</v>
      </c>
      <c r="C7" s="197">
        <v>13</v>
      </c>
      <c r="D7" s="198">
        <f>B7/C7</f>
        <v>0</v>
      </c>
      <c r="E7" s="197">
        <v>19</v>
      </c>
      <c r="F7" s="199">
        <f>B7/E7</f>
        <v>0</v>
      </c>
      <c r="G7" s="200">
        <v>34</v>
      </c>
      <c r="H7" s="201">
        <f>B7/G7</f>
        <v>0</v>
      </c>
      <c r="I7" s="200">
        <v>34</v>
      </c>
      <c r="J7" s="202">
        <f>B7/I7</f>
        <v>0</v>
      </c>
    </row>
    <row r="8" spans="1:10" x14ac:dyDescent="0.35">
      <c r="A8" s="203" t="s">
        <v>5</v>
      </c>
      <c r="B8" s="204">
        <f>10/100*B4</f>
        <v>0</v>
      </c>
      <c r="C8" s="205"/>
      <c r="D8" s="206"/>
      <c r="E8" s="205"/>
      <c r="F8" s="207"/>
      <c r="G8" s="208"/>
      <c r="H8" s="209"/>
      <c r="I8" s="210"/>
      <c r="J8" s="211"/>
    </row>
    <row r="9" spans="1:10" x14ac:dyDescent="0.35">
      <c r="A9" s="212" t="s">
        <v>69</v>
      </c>
      <c r="B9" s="121">
        <f>2.2/10*B2</f>
        <v>0</v>
      </c>
      <c r="C9" s="49"/>
      <c r="D9" s="50"/>
      <c r="E9" s="49"/>
      <c r="F9" s="50"/>
      <c r="G9" s="208"/>
      <c r="H9" s="209"/>
      <c r="I9" s="210"/>
      <c r="J9" s="211"/>
    </row>
    <row r="10" spans="1:10" x14ac:dyDescent="0.35">
      <c r="A10" s="212" t="s">
        <v>70</v>
      </c>
      <c r="B10" s="121">
        <f>5.2/10*B2</f>
        <v>0</v>
      </c>
      <c r="C10" s="49"/>
      <c r="D10" s="50"/>
      <c r="E10" s="49"/>
      <c r="F10" s="50"/>
      <c r="G10" s="208"/>
      <c r="H10" s="209"/>
      <c r="I10" s="210"/>
      <c r="J10" s="211"/>
    </row>
    <row r="11" spans="1:10" x14ac:dyDescent="0.35">
      <c r="A11" s="212" t="s">
        <v>71</v>
      </c>
      <c r="B11" s="121">
        <f>2.6/10*B2</f>
        <v>0</v>
      </c>
      <c r="C11" s="49"/>
      <c r="D11" s="50"/>
      <c r="E11" s="49"/>
      <c r="F11" s="50"/>
      <c r="G11" s="208"/>
      <c r="H11" s="209"/>
      <c r="I11" s="210"/>
      <c r="J11" s="211"/>
    </row>
    <row r="12" spans="1:10" x14ac:dyDescent="0.35">
      <c r="A12" s="117" t="s">
        <v>6</v>
      </c>
      <c r="B12" s="64">
        <f>69/100*B4</f>
        <v>0</v>
      </c>
      <c r="C12" s="213">
        <v>130</v>
      </c>
      <c r="D12" s="66">
        <f>B12/C12</f>
        <v>0</v>
      </c>
      <c r="E12" s="213">
        <v>130</v>
      </c>
      <c r="F12" s="66">
        <f>B12/E12</f>
        <v>0</v>
      </c>
      <c r="G12" s="200">
        <v>130</v>
      </c>
      <c r="H12" s="201">
        <f>B12/G12</f>
        <v>0</v>
      </c>
      <c r="I12" s="200">
        <v>130</v>
      </c>
      <c r="J12" s="202">
        <f>B12/I12</f>
        <v>0</v>
      </c>
    </row>
    <row r="13" spans="1:10" x14ac:dyDescent="0.35">
      <c r="A13" s="214" t="s">
        <v>72</v>
      </c>
      <c r="B13" s="77">
        <v>0</v>
      </c>
      <c r="C13" s="78">
        <v>19</v>
      </c>
      <c r="D13" s="79">
        <f>B13/C13</f>
        <v>0</v>
      </c>
      <c r="E13" s="78">
        <v>25</v>
      </c>
      <c r="F13" s="79">
        <f>B13/E13</f>
        <v>0</v>
      </c>
      <c r="G13" s="215">
        <v>31</v>
      </c>
      <c r="H13" s="216">
        <f>B13/G13</f>
        <v>0</v>
      </c>
      <c r="I13" s="215">
        <v>26</v>
      </c>
      <c r="J13" s="217">
        <f>B13/I13</f>
        <v>0</v>
      </c>
    </row>
    <row r="14" spans="1:10" x14ac:dyDescent="0.35">
      <c r="A14" s="218" t="s">
        <v>73</v>
      </c>
      <c r="B14" s="77">
        <v>0</v>
      </c>
      <c r="C14" s="78"/>
      <c r="D14" s="79"/>
      <c r="E14" s="78"/>
      <c r="F14" s="79"/>
      <c r="G14" s="215"/>
      <c r="H14" s="216"/>
      <c r="I14" s="219"/>
      <c r="J14" s="217"/>
    </row>
    <row r="15" spans="1:10" ht="15" thickBot="1" x14ac:dyDescent="0.4">
      <c r="A15" s="220" t="s">
        <v>74</v>
      </c>
      <c r="B15" s="221">
        <v>0</v>
      </c>
      <c r="C15" s="222"/>
      <c r="D15" s="223"/>
      <c r="E15" s="222"/>
      <c r="F15" s="223"/>
      <c r="G15" s="224"/>
      <c r="H15" s="225"/>
      <c r="I15" s="226"/>
      <c r="J15" s="227"/>
    </row>
    <row r="16" spans="1:10" ht="44" thickBot="1" x14ac:dyDescent="0.4">
      <c r="A16" s="374" t="s">
        <v>7</v>
      </c>
      <c r="B16" s="375"/>
      <c r="C16" s="167" t="s">
        <v>75</v>
      </c>
      <c r="D16" s="167" t="s">
        <v>60</v>
      </c>
      <c r="E16" s="31" t="s">
        <v>76</v>
      </c>
      <c r="F16" s="168" t="s">
        <v>77</v>
      </c>
      <c r="G16" s="169" t="s">
        <v>78</v>
      </c>
      <c r="H16" s="169" t="s">
        <v>79</v>
      </c>
      <c r="I16" s="170" t="s">
        <v>80</v>
      </c>
      <c r="J16" s="170" t="s">
        <v>81</v>
      </c>
    </row>
    <row r="17" spans="1:10" x14ac:dyDescent="0.35">
      <c r="A17" s="228" t="s">
        <v>8</v>
      </c>
      <c r="B17" s="229">
        <f>412/100*B4</f>
        <v>0</v>
      </c>
      <c r="C17" s="230">
        <v>300</v>
      </c>
      <c r="D17" s="231">
        <f t="shared" ref="D17:D43" si="0">B17/C17</f>
        <v>0</v>
      </c>
      <c r="E17" s="230">
        <v>400</v>
      </c>
      <c r="F17" s="232">
        <f t="shared" ref="F17:F30" si="1">B17/E17</f>
        <v>0</v>
      </c>
      <c r="G17" s="233">
        <v>600</v>
      </c>
      <c r="H17" s="234">
        <f>B17/G17</f>
        <v>0</v>
      </c>
      <c r="I17" s="233">
        <v>600</v>
      </c>
      <c r="J17" s="235">
        <f>B17/I17</f>
        <v>0</v>
      </c>
    </row>
    <row r="18" spans="1:10" x14ac:dyDescent="0.35">
      <c r="A18" s="187" t="s">
        <v>9</v>
      </c>
      <c r="B18" s="188">
        <f>13.1/100*B4</f>
        <v>0</v>
      </c>
      <c r="C18" s="236">
        <v>15</v>
      </c>
      <c r="D18" s="237">
        <f t="shared" si="0"/>
        <v>0</v>
      </c>
      <c r="E18" s="236">
        <v>15</v>
      </c>
      <c r="F18" s="191">
        <f t="shared" si="1"/>
        <v>0</v>
      </c>
      <c r="G18" s="238">
        <v>15</v>
      </c>
      <c r="H18" s="239">
        <f t="shared" ref="H18:H30" si="2">B18/G18</f>
        <v>0</v>
      </c>
      <c r="I18" s="238">
        <v>15</v>
      </c>
      <c r="J18" s="240">
        <f t="shared" ref="J18:J30" si="3">B18/I18</f>
        <v>0</v>
      </c>
    </row>
    <row r="19" spans="1:10" x14ac:dyDescent="0.35">
      <c r="A19" s="195" t="s">
        <v>10</v>
      </c>
      <c r="B19" s="196">
        <f>5.7/100*B4</f>
        <v>0</v>
      </c>
      <c r="C19" s="197">
        <v>6</v>
      </c>
      <c r="D19" s="198">
        <f t="shared" si="0"/>
        <v>0</v>
      </c>
      <c r="E19" s="197">
        <v>7</v>
      </c>
      <c r="F19" s="199">
        <f t="shared" si="1"/>
        <v>0</v>
      </c>
      <c r="G19" s="241">
        <v>11</v>
      </c>
      <c r="H19" s="201">
        <f t="shared" si="2"/>
        <v>0</v>
      </c>
      <c r="I19" s="241">
        <v>11</v>
      </c>
      <c r="J19" s="202">
        <f t="shared" si="3"/>
        <v>0</v>
      </c>
    </row>
    <row r="20" spans="1:10" x14ac:dyDescent="0.35">
      <c r="A20" s="187" t="s">
        <v>11</v>
      </c>
      <c r="B20" s="188">
        <f>34/100*B4</f>
        <v>0</v>
      </c>
      <c r="C20" s="189">
        <v>30</v>
      </c>
      <c r="D20" s="237">
        <f t="shared" si="0"/>
        <v>0</v>
      </c>
      <c r="E20" s="189">
        <v>55</v>
      </c>
      <c r="F20" s="191">
        <f t="shared" si="1"/>
        <v>0</v>
      </c>
      <c r="G20" s="242">
        <v>60</v>
      </c>
      <c r="H20" s="239">
        <f t="shared" si="2"/>
        <v>0</v>
      </c>
      <c r="I20" s="242">
        <v>60</v>
      </c>
      <c r="J20" s="240">
        <f t="shared" si="3"/>
        <v>0</v>
      </c>
    </row>
    <row r="21" spans="1:10" x14ac:dyDescent="0.35">
      <c r="A21" s="195" t="s">
        <v>12</v>
      </c>
      <c r="B21" s="243">
        <f>0.83/100*B4</f>
        <v>0</v>
      </c>
      <c r="C21" s="197">
        <v>0.5</v>
      </c>
      <c r="D21" s="198">
        <f t="shared" si="0"/>
        <v>0</v>
      </c>
      <c r="E21" s="197">
        <v>0.6</v>
      </c>
      <c r="F21" s="199">
        <f t="shared" si="1"/>
        <v>0</v>
      </c>
      <c r="G21" s="244">
        <v>0.9</v>
      </c>
      <c r="H21" s="201">
        <f t="shared" si="2"/>
        <v>0</v>
      </c>
      <c r="I21" s="244">
        <v>0.9</v>
      </c>
      <c r="J21" s="202">
        <f t="shared" si="3"/>
        <v>0</v>
      </c>
    </row>
    <row r="22" spans="1:10" x14ac:dyDescent="0.35">
      <c r="A22" s="187" t="s">
        <v>13</v>
      </c>
      <c r="B22" s="245">
        <f>0.69/100*B4</f>
        <v>0</v>
      </c>
      <c r="C22" s="236">
        <v>0.5</v>
      </c>
      <c r="D22" s="237">
        <f t="shared" si="0"/>
        <v>0</v>
      </c>
      <c r="E22" s="236">
        <v>0.6</v>
      </c>
      <c r="F22" s="191">
        <f t="shared" si="1"/>
        <v>0</v>
      </c>
      <c r="G22" s="246">
        <v>0.9</v>
      </c>
      <c r="H22" s="247">
        <f t="shared" si="2"/>
        <v>0</v>
      </c>
      <c r="I22" s="246">
        <v>0.9</v>
      </c>
      <c r="J22" s="248">
        <f t="shared" si="3"/>
        <v>0</v>
      </c>
    </row>
    <row r="23" spans="1:10" x14ac:dyDescent="0.35">
      <c r="A23" s="195" t="s">
        <v>14</v>
      </c>
      <c r="B23" s="243">
        <f>0.66/100*B4</f>
        <v>0</v>
      </c>
      <c r="C23" s="197">
        <v>0.5</v>
      </c>
      <c r="D23" s="198">
        <f t="shared" si="0"/>
        <v>0</v>
      </c>
      <c r="E23" s="197">
        <v>0.6</v>
      </c>
      <c r="F23" s="199">
        <f t="shared" si="1"/>
        <v>0</v>
      </c>
      <c r="G23" s="244">
        <v>1</v>
      </c>
      <c r="H23" s="201">
        <f t="shared" si="2"/>
        <v>0</v>
      </c>
      <c r="I23" s="244">
        <v>1</v>
      </c>
      <c r="J23" s="202">
        <f t="shared" si="3"/>
        <v>0</v>
      </c>
    </row>
    <row r="24" spans="1:10" x14ac:dyDescent="0.35">
      <c r="A24" s="187" t="s">
        <v>15</v>
      </c>
      <c r="B24" s="245">
        <f>1.4/100*B4</f>
        <v>0</v>
      </c>
      <c r="C24" s="236">
        <v>0.9</v>
      </c>
      <c r="D24" s="237">
        <f t="shared" si="0"/>
        <v>0</v>
      </c>
      <c r="E24" s="236">
        <v>1.2</v>
      </c>
      <c r="F24" s="191">
        <f t="shared" si="1"/>
        <v>0</v>
      </c>
      <c r="G24" s="246">
        <v>1.8</v>
      </c>
      <c r="H24" s="247">
        <f t="shared" si="2"/>
        <v>0</v>
      </c>
      <c r="I24" s="246">
        <v>1.8</v>
      </c>
      <c r="J24" s="248">
        <f t="shared" si="3"/>
        <v>0</v>
      </c>
    </row>
    <row r="25" spans="1:10" x14ac:dyDescent="0.35">
      <c r="A25" s="195" t="s">
        <v>56</v>
      </c>
      <c r="B25" s="243">
        <f>6.6/100*B4</f>
        <v>0</v>
      </c>
      <c r="C25" s="197">
        <v>6</v>
      </c>
      <c r="D25" s="198">
        <f t="shared" si="0"/>
        <v>0</v>
      </c>
      <c r="E25" s="197">
        <v>8</v>
      </c>
      <c r="F25" s="199">
        <f t="shared" si="1"/>
        <v>0</v>
      </c>
      <c r="G25" s="241">
        <v>12</v>
      </c>
      <c r="H25" s="201">
        <f t="shared" si="2"/>
        <v>0</v>
      </c>
      <c r="I25" s="241">
        <v>12</v>
      </c>
      <c r="J25" s="202">
        <f t="shared" si="3"/>
        <v>0</v>
      </c>
    </row>
    <row r="26" spans="1:10" x14ac:dyDescent="0.35">
      <c r="A26" s="187" t="s">
        <v>16</v>
      </c>
      <c r="B26" s="188">
        <f>150/100*B4</f>
        <v>0</v>
      </c>
      <c r="C26" s="236">
        <v>150</v>
      </c>
      <c r="D26" s="237">
        <f t="shared" si="0"/>
        <v>0</v>
      </c>
      <c r="E26" s="236">
        <v>200</v>
      </c>
      <c r="F26" s="191">
        <f t="shared" si="1"/>
        <v>0</v>
      </c>
      <c r="G26" s="249">
        <v>300</v>
      </c>
      <c r="H26" s="247">
        <f t="shared" si="2"/>
        <v>0</v>
      </c>
      <c r="I26" s="249">
        <v>300</v>
      </c>
      <c r="J26" s="248">
        <f t="shared" si="3"/>
        <v>0</v>
      </c>
    </row>
    <row r="27" spans="1:10" x14ac:dyDescent="0.35">
      <c r="A27" s="195" t="s">
        <v>17</v>
      </c>
      <c r="B27" s="196">
        <f>6/100*B4</f>
        <v>0</v>
      </c>
      <c r="C27" s="250">
        <v>2</v>
      </c>
      <c r="D27" s="198">
        <f t="shared" si="0"/>
        <v>0</v>
      </c>
      <c r="E27" s="250">
        <v>3</v>
      </c>
      <c r="F27" s="199">
        <f t="shared" si="1"/>
        <v>0</v>
      </c>
      <c r="G27" s="251">
        <v>4</v>
      </c>
      <c r="H27" s="252">
        <f t="shared" si="2"/>
        <v>0</v>
      </c>
      <c r="I27" s="251">
        <v>4</v>
      </c>
      <c r="J27" s="253">
        <f t="shared" si="3"/>
        <v>0</v>
      </c>
    </row>
    <row r="28" spans="1:10" x14ac:dyDescent="0.35">
      <c r="A28" s="187" t="s">
        <v>18</v>
      </c>
      <c r="B28" s="188">
        <f>31/100*B4</f>
        <v>0</v>
      </c>
      <c r="C28" s="189">
        <v>8</v>
      </c>
      <c r="D28" s="237">
        <f t="shared" si="0"/>
        <v>0</v>
      </c>
      <c r="E28" s="189">
        <v>12</v>
      </c>
      <c r="F28" s="191">
        <f t="shared" si="1"/>
        <v>0</v>
      </c>
      <c r="G28" s="242">
        <v>20</v>
      </c>
      <c r="H28" s="239">
        <f t="shared" si="2"/>
        <v>0</v>
      </c>
      <c r="I28" s="242">
        <v>20</v>
      </c>
      <c r="J28" s="240">
        <f t="shared" si="3"/>
        <v>0</v>
      </c>
    </row>
    <row r="29" spans="1:10" x14ac:dyDescent="0.35">
      <c r="A29" s="195" t="s">
        <v>19</v>
      </c>
      <c r="B29" s="196">
        <f>56/100*B4</f>
        <v>0</v>
      </c>
      <c r="C29" s="197">
        <v>15</v>
      </c>
      <c r="D29" s="198">
        <f t="shared" si="0"/>
        <v>0</v>
      </c>
      <c r="E29" s="197">
        <v>25</v>
      </c>
      <c r="F29" s="199">
        <f t="shared" si="1"/>
        <v>0</v>
      </c>
      <c r="G29" s="241">
        <v>45</v>
      </c>
      <c r="H29" s="201">
        <f t="shared" si="2"/>
        <v>0</v>
      </c>
      <c r="I29" s="241">
        <v>45</v>
      </c>
      <c r="J29" s="202">
        <f t="shared" si="3"/>
        <v>0</v>
      </c>
    </row>
    <row r="30" spans="1:10" x14ac:dyDescent="0.35">
      <c r="A30" s="187" t="s">
        <v>20</v>
      </c>
      <c r="B30" s="188">
        <f>213/100*B4</f>
        <v>0</v>
      </c>
      <c r="C30" s="205">
        <v>200</v>
      </c>
      <c r="D30" s="206">
        <f t="shared" si="0"/>
        <v>0</v>
      </c>
      <c r="E30" s="205">
        <v>250</v>
      </c>
      <c r="F30" s="207">
        <f t="shared" si="1"/>
        <v>0</v>
      </c>
      <c r="G30" s="242">
        <v>375</v>
      </c>
      <c r="H30" s="239">
        <f t="shared" si="2"/>
        <v>0</v>
      </c>
      <c r="I30" s="242">
        <v>375</v>
      </c>
      <c r="J30" s="240">
        <f t="shared" si="3"/>
        <v>0</v>
      </c>
    </row>
    <row r="31" spans="1:10" ht="15" thickBot="1" x14ac:dyDescent="0.4">
      <c r="A31" s="254" t="s">
        <v>21</v>
      </c>
      <c r="B31" s="255">
        <f>125/100*B4</f>
        <v>0</v>
      </c>
      <c r="C31" s="256" t="s">
        <v>22</v>
      </c>
      <c r="D31" s="257"/>
      <c r="E31" s="256" t="s">
        <v>22</v>
      </c>
      <c r="F31" s="258"/>
      <c r="G31" s="259" t="s">
        <v>22</v>
      </c>
      <c r="H31" s="260"/>
      <c r="I31" s="259" t="s">
        <v>22</v>
      </c>
      <c r="J31" s="261"/>
    </row>
    <row r="32" spans="1:10" ht="44" thickBot="1" x14ac:dyDescent="0.4">
      <c r="A32" s="362" t="s">
        <v>23</v>
      </c>
      <c r="B32" s="363"/>
      <c r="C32" s="167" t="s">
        <v>75</v>
      </c>
      <c r="D32" s="167" t="s">
        <v>60</v>
      </c>
      <c r="E32" s="31" t="s">
        <v>76</v>
      </c>
      <c r="F32" s="168" t="s">
        <v>77</v>
      </c>
      <c r="G32" s="262" t="s">
        <v>78</v>
      </c>
      <c r="H32" s="262" t="s">
        <v>79</v>
      </c>
      <c r="I32" s="263" t="s">
        <v>80</v>
      </c>
      <c r="J32" s="263" t="s">
        <v>81</v>
      </c>
    </row>
    <row r="33" spans="1:10" x14ac:dyDescent="0.35">
      <c r="A33" s="228" t="s">
        <v>24</v>
      </c>
      <c r="B33" s="229">
        <f>460/100*B4</f>
        <v>0</v>
      </c>
      <c r="C33" s="230">
        <v>700</v>
      </c>
      <c r="D33" s="231">
        <f t="shared" si="0"/>
        <v>0</v>
      </c>
      <c r="E33" s="230">
        <v>1000</v>
      </c>
      <c r="F33" s="232">
        <f t="shared" ref="F33:F43" si="4">B33/E33</f>
        <v>0</v>
      </c>
      <c r="G33" s="264">
        <v>1300</v>
      </c>
      <c r="H33" s="265">
        <f>B33/G33</f>
        <v>0</v>
      </c>
      <c r="I33" s="264">
        <v>1300</v>
      </c>
      <c r="J33" s="266">
        <f>B33/I33</f>
        <v>0</v>
      </c>
    </row>
    <row r="34" spans="1:10" x14ac:dyDescent="0.35">
      <c r="A34" s="187" t="s">
        <v>25</v>
      </c>
      <c r="B34" s="267">
        <f>400/100*B4</f>
        <v>0</v>
      </c>
      <c r="C34" s="236">
        <v>460</v>
      </c>
      <c r="D34" s="237">
        <f t="shared" si="0"/>
        <v>0</v>
      </c>
      <c r="E34" s="236">
        <v>500</v>
      </c>
      <c r="F34" s="191">
        <f t="shared" si="4"/>
        <v>0</v>
      </c>
      <c r="G34" s="249">
        <v>1250</v>
      </c>
      <c r="H34" s="247">
        <f t="shared" ref="H34:H46" si="5">B34/G34</f>
        <v>0</v>
      </c>
      <c r="I34" s="249">
        <v>1250</v>
      </c>
      <c r="J34" s="248">
        <f t="shared" ref="J34:J46" si="6">B34/I34</f>
        <v>0</v>
      </c>
    </row>
    <row r="35" spans="1:10" x14ac:dyDescent="0.35">
      <c r="A35" s="195" t="s">
        <v>26</v>
      </c>
      <c r="B35" s="196">
        <f>60/100*B4</f>
        <v>0</v>
      </c>
      <c r="C35" s="197">
        <v>80</v>
      </c>
      <c r="D35" s="198">
        <f t="shared" si="0"/>
        <v>0</v>
      </c>
      <c r="E35" s="197">
        <v>130</v>
      </c>
      <c r="F35" s="199">
        <f t="shared" si="4"/>
        <v>0</v>
      </c>
      <c r="G35" s="241">
        <v>240</v>
      </c>
      <c r="H35" s="201">
        <f t="shared" si="5"/>
        <v>0</v>
      </c>
      <c r="I35" s="241">
        <v>240</v>
      </c>
      <c r="J35" s="202">
        <f t="shared" si="6"/>
        <v>0</v>
      </c>
    </row>
    <row r="36" spans="1:10" x14ac:dyDescent="0.35">
      <c r="A36" s="187" t="s">
        <v>27</v>
      </c>
      <c r="B36" s="188">
        <f>8/100*B4</f>
        <v>0</v>
      </c>
      <c r="C36" s="236">
        <v>7</v>
      </c>
      <c r="D36" s="237">
        <f t="shared" si="0"/>
        <v>0</v>
      </c>
      <c r="E36" s="236">
        <v>10</v>
      </c>
      <c r="F36" s="191">
        <f t="shared" si="4"/>
        <v>0</v>
      </c>
      <c r="G36" s="249">
        <v>8</v>
      </c>
      <c r="H36" s="247">
        <f t="shared" si="5"/>
        <v>0</v>
      </c>
      <c r="I36" s="249">
        <v>8</v>
      </c>
      <c r="J36" s="248">
        <f t="shared" si="6"/>
        <v>0</v>
      </c>
    </row>
    <row r="37" spans="1:10" x14ac:dyDescent="0.35">
      <c r="A37" s="195" t="s">
        <v>28</v>
      </c>
      <c r="B37" s="196">
        <f>7/100*B4</f>
        <v>0</v>
      </c>
      <c r="C37" s="197">
        <v>3</v>
      </c>
      <c r="D37" s="198">
        <f t="shared" si="0"/>
        <v>0</v>
      </c>
      <c r="E37" s="197">
        <v>5</v>
      </c>
      <c r="F37" s="199">
        <f t="shared" si="4"/>
        <v>0</v>
      </c>
      <c r="G37" s="241">
        <v>8</v>
      </c>
      <c r="H37" s="201">
        <f t="shared" si="5"/>
        <v>0</v>
      </c>
      <c r="I37" s="241">
        <v>8</v>
      </c>
      <c r="J37" s="202">
        <f t="shared" si="6"/>
        <v>0</v>
      </c>
    </row>
    <row r="38" spans="1:10" x14ac:dyDescent="0.35">
      <c r="A38" s="187" t="s">
        <v>29</v>
      </c>
      <c r="B38" s="245">
        <f>0.43/100*B4</f>
        <v>0</v>
      </c>
      <c r="C38" s="189">
        <v>1.2</v>
      </c>
      <c r="D38" s="237">
        <f t="shared" si="0"/>
        <v>0</v>
      </c>
      <c r="E38" s="189">
        <v>1.5</v>
      </c>
      <c r="F38" s="191">
        <f t="shared" si="4"/>
        <v>0</v>
      </c>
      <c r="G38" s="268">
        <v>1.9</v>
      </c>
      <c r="H38" s="239">
        <f t="shared" si="5"/>
        <v>0</v>
      </c>
      <c r="I38" s="268">
        <v>1.6</v>
      </c>
      <c r="J38" s="240">
        <f t="shared" si="6"/>
        <v>0</v>
      </c>
    </row>
    <row r="39" spans="1:10" x14ac:dyDescent="0.35">
      <c r="A39" s="195" t="s">
        <v>30</v>
      </c>
      <c r="B39" s="269">
        <f>500/100*B4</f>
        <v>0</v>
      </c>
      <c r="C39" s="197">
        <v>340</v>
      </c>
      <c r="D39" s="198">
        <f t="shared" si="0"/>
        <v>0</v>
      </c>
      <c r="E39" s="197">
        <v>440</v>
      </c>
      <c r="F39" s="199">
        <f t="shared" si="4"/>
        <v>0</v>
      </c>
      <c r="G39" s="241">
        <v>700</v>
      </c>
      <c r="H39" s="201">
        <f t="shared" si="5"/>
        <v>0</v>
      </c>
      <c r="I39" s="241">
        <v>700</v>
      </c>
      <c r="J39" s="202">
        <f t="shared" si="6"/>
        <v>0</v>
      </c>
    </row>
    <row r="40" spans="1:10" x14ac:dyDescent="0.35">
      <c r="A40" s="187" t="s">
        <v>31</v>
      </c>
      <c r="B40" s="188">
        <f>90/100*B4</f>
        <v>0</v>
      </c>
      <c r="C40" s="236">
        <v>90</v>
      </c>
      <c r="D40" s="237">
        <f t="shared" si="0"/>
        <v>0</v>
      </c>
      <c r="E40" s="236">
        <v>90</v>
      </c>
      <c r="F40" s="191">
        <f t="shared" si="4"/>
        <v>0</v>
      </c>
      <c r="G40" s="249">
        <v>120</v>
      </c>
      <c r="H40" s="247">
        <f t="shared" si="5"/>
        <v>0</v>
      </c>
      <c r="I40" s="249">
        <v>120</v>
      </c>
      <c r="J40" s="248">
        <f t="shared" si="6"/>
        <v>0</v>
      </c>
    </row>
    <row r="41" spans="1:10" x14ac:dyDescent="0.35">
      <c r="A41" s="195" t="s">
        <v>32</v>
      </c>
      <c r="B41" s="196">
        <f>18/100*B4</f>
        <v>0</v>
      </c>
      <c r="C41" s="197">
        <v>17</v>
      </c>
      <c r="D41" s="198">
        <f t="shared" si="0"/>
        <v>0</v>
      </c>
      <c r="E41" s="197">
        <v>22</v>
      </c>
      <c r="F41" s="199">
        <f t="shared" si="4"/>
        <v>0</v>
      </c>
      <c r="G41" s="241">
        <v>34</v>
      </c>
      <c r="H41" s="201">
        <f t="shared" si="5"/>
        <v>0</v>
      </c>
      <c r="I41" s="241">
        <v>34</v>
      </c>
      <c r="J41" s="202">
        <f t="shared" si="6"/>
        <v>0</v>
      </c>
    </row>
    <row r="42" spans="1:10" x14ac:dyDescent="0.35">
      <c r="A42" s="187" t="s">
        <v>33</v>
      </c>
      <c r="B42" s="188">
        <f>12/100*B4</f>
        <v>0</v>
      </c>
      <c r="C42" s="189">
        <v>11</v>
      </c>
      <c r="D42" s="237">
        <f t="shared" si="0"/>
        <v>0</v>
      </c>
      <c r="E42" s="189">
        <v>15</v>
      </c>
      <c r="F42" s="191">
        <f t="shared" si="4"/>
        <v>0</v>
      </c>
      <c r="G42" s="242">
        <v>25</v>
      </c>
      <c r="H42" s="239">
        <f t="shared" si="5"/>
        <v>0</v>
      </c>
      <c r="I42" s="242">
        <v>21</v>
      </c>
      <c r="J42" s="240">
        <f t="shared" si="6"/>
        <v>0</v>
      </c>
    </row>
    <row r="43" spans="1:10" x14ac:dyDescent="0.35">
      <c r="A43" s="195" t="s">
        <v>34</v>
      </c>
      <c r="B43" s="196">
        <f>40/100*B4</f>
        <v>0</v>
      </c>
      <c r="C43" s="270">
        <v>20</v>
      </c>
      <c r="D43" s="271">
        <f t="shared" si="0"/>
        <v>0</v>
      </c>
      <c r="E43" s="270">
        <v>30</v>
      </c>
      <c r="F43" s="272">
        <f t="shared" si="4"/>
        <v>0</v>
      </c>
      <c r="G43" s="241">
        <v>40</v>
      </c>
      <c r="H43" s="201">
        <f t="shared" si="5"/>
        <v>0</v>
      </c>
      <c r="I43" s="241">
        <v>40</v>
      </c>
      <c r="J43" s="202">
        <f t="shared" si="6"/>
        <v>0</v>
      </c>
    </row>
    <row r="44" spans="1:10" x14ac:dyDescent="0.35">
      <c r="A44" s="187" t="s">
        <v>35</v>
      </c>
      <c r="B44" s="267">
        <f>221/100*B4</f>
        <v>0</v>
      </c>
      <c r="C44" s="273">
        <v>800</v>
      </c>
      <c r="D44" s="274">
        <f>B44/C44</f>
        <v>0</v>
      </c>
      <c r="E44" s="273">
        <v>1000</v>
      </c>
      <c r="F44" s="275">
        <f>B44/E44</f>
        <v>0</v>
      </c>
      <c r="G44" s="242">
        <v>1200</v>
      </c>
      <c r="H44" s="239">
        <f t="shared" si="5"/>
        <v>0</v>
      </c>
      <c r="I44" s="242">
        <v>1200</v>
      </c>
      <c r="J44" s="240">
        <f t="shared" si="6"/>
        <v>0</v>
      </c>
    </row>
    <row r="45" spans="1:10" x14ac:dyDescent="0.35">
      <c r="A45" s="254" t="s">
        <v>36</v>
      </c>
      <c r="B45" s="276">
        <f>589/100*B4</f>
        <v>0</v>
      </c>
      <c r="C45" s="277">
        <v>2000</v>
      </c>
      <c r="D45" s="278">
        <f>B45/C45</f>
        <v>0</v>
      </c>
      <c r="E45" s="277">
        <v>2300</v>
      </c>
      <c r="F45" s="279">
        <f>B45/E45</f>
        <v>0</v>
      </c>
      <c r="G45" s="251">
        <v>2500</v>
      </c>
      <c r="H45" s="252">
        <f t="shared" si="5"/>
        <v>0</v>
      </c>
      <c r="I45" s="251">
        <v>2300</v>
      </c>
      <c r="J45" s="253">
        <f t="shared" si="6"/>
        <v>0</v>
      </c>
    </row>
    <row r="46" spans="1:10" ht="15" thickBot="1" x14ac:dyDescent="0.4">
      <c r="A46" s="280" t="s">
        <v>37</v>
      </c>
      <c r="B46" s="281">
        <f>332/100*B4</f>
        <v>0</v>
      </c>
      <c r="C46" s="282">
        <v>1500</v>
      </c>
      <c r="D46" s="283">
        <f>B46/C46</f>
        <v>0</v>
      </c>
      <c r="E46" s="282">
        <v>1900</v>
      </c>
      <c r="F46" s="284">
        <f>B46/E46</f>
        <v>0</v>
      </c>
      <c r="G46" s="285">
        <v>2300</v>
      </c>
      <c r="H46" s="286">
        <f t="shared" si="5"/>
        <v>0</v>
      </c>
      <c r="I46" s="285">
        <v>2300</v>
      </c>
      <c r="J46" s="287">
        <f t="shared" si="6"/>
        <v>0</v>
      </c>
    </row>
    <row r="47" spans="1:10" x14ac:dyDescent="0.35">
      <c r="A47" s="159" t="s">
        <v>62</v>
      </c>
    </row>
    <row r="48" spans="1:10" x14ac:dyDescent="0.35">
      <c r="A48" s="28" t="s">
        <v>63</v>
      </c>
    </row>
    <row r="49" spans="1:1" x14ac:dyDescent="0.35">
      <c r="A49" s="28" t="s">
        <v>61</v>
      </c>
    </row>
    <row r="50" spans="1:1" x14ac:dyDescent="0.35">
      <c r="A50" s="161" t="s">
        <v>113</v>
      </c>
    </row>
  </sheetData>
  <sheetProtection algorithmName="SHA-512" hashValue="U/3oU7LQg4Zi5tnk/UYPpZeN0qLkglUyeLJ49yz0vchRfO03zuOIO3s7dK0NgOLaWeroQ7DwJERRN4oPnvX54g==" saltValue="YXMtwgchcqrsp/2O4uVHdw==" spinCount="100000" sheet="1" objects="1" scenarios="1"/>
  <mergeCells count="4">
    <mergeCell ref="C2:J2"/>
    <mergeCell ref="A3:B3"/>
    <mergeCell ref="A16:B16"/>
    <mergeCell ref="A32:B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F040-94F6-447C-AF54-DCA941CA3FC0}">
  <sheetPr>
    <tabColor theme="5"/>
  </sheetPr>
  <dimension ref="A1:J48"/>
  <sheetViews>
    <sheetView showGridLines="0" zoomScale="90" zoomScaleNormal="90" workbookViewId="0">
      <selection activeCell="B2" sqref="B2"/>
    </sheetView>
  </sheetViews>
  <sheetFormatPr defaultColWidth="9.1796875" defaultRowHeight="14.5" x14ac:dyDescent="0.35"/>
  <cols>
    <col min="1" max="1" width="26" style="28" customWidth="1"/>
    <col min="2" max="2" width="12.54296875" style="28" customWidth="1"/>
    <col min="3" max="6" width="9.1796875" style="28"/>
    <col min="7" max="7" width="10.1796875" style="28" customWidth="1"/>
    <col min="8" max="9" width="10.54296875" style="28" customWidth="1"/>
    <col min="10" max="10" width="9.81640625" style="28" customWidth="1"/>
    <col min="11" max="11" width="4.26953125" style="28" customWidth="1"/>
    <col min="12" max="16384" width="9.1796875" style="28"/>
  </cols>
  <sheetData>
    <row r="1" spans="1:10" ht="15" thickBot="1" x14ac:dyDescent="0.4">
      <c r="A1" s="288" t="s">
        <v>0</v>
      </c>
      <c r="B1" s="163" t="s">
        <v>1</v>
      </c>
      <c r="C1" s="163" t="s">
        <v>1</v>
      </c>
      <c r="D1" s="163" t="s">
        <v>1</v>
      </c>
      <c r="E1" s="163"/>
      <c r="F1" s="163"/>
      <c r="G1" s="164"/>
      <c r="H1" s="164"/>
      <c r="I1" s="164"/>
      <c r="J1" s="165"/>
    </row>
    <row r="2" spans="1:10" ht="75" customHeight="1" thickBot="1" x14ac:dyDescent="0.4">
      <c r="A2" s="166" t="s">
        <v>64</v>
      </c>
      <c r="B2" s="13">
        <v>0</v>
      </c>
      <c r="C2" s="369" t="s">
        <v>95</v>
      </c>
      <c r="D2" s="370"/>
      <c r="E2" s="370"/>
      <c r="F2" s="370"/>
      <c r="G2" s="371"/>
      <c r="H2" s="371"/>
      <c r="I2" s="371"/>
      <c r="J2" s="372"/>
    </row>
    <row r="3" spans="1:10" ht="44" thickBot="1" x14ac:dyDescent="0.4">
      <c r="A3" s="360" t="s">
        <v>116</v>
      </c>
      <c r="B3" s="373"/>
      <c r="C3" s="167" t="s">
        <v>75</v>
      </c>
      <c r="D3" s="167" t="s">
        <v>60</v>
      </c>
      <c r="E3" s="31" t="s">
        <v>76</v>
      </c>
      <c r="F3" s="168" t="s">
        <v>77</v>
      </c>
      <c r="G3" s="169" t="s">
        <v>78</v>
      </c>
      <c r="H3" s="169" t="s">
        <v>79</v>
      </c>
      <c r="I3" s="170" t="s">
        <v>80</v>
      </c>
      <c r="J3" s="170" t="s">
        <v>81</v>
      </c>
    </row>
    <row r="4" spans="1:10" x14ac:dyDescent="0.35">
      <c r="A4" s="289" t="s">
        <v>2</v>
      </c>
      <c r="B4" s="290">
        <v>40</v>
      </c>
      <c r="C4" s="173"/>
      <c r="D4" s="174"/>
      <c r="E4" s="173"/>
      <c r="F4" s="175"/>
      <c r="G4" s="176"/>
      <c r="H4" s="177"/>
      <c r="I4" s="177"/>
      <c r="J4" s="178"/>
    </row>
    <row r="5" spans="1:10" x14ac:dyDescent="0.35">
      <c r="A5" s="179" t="s">
        <v>102</v>
      </c>
      <c r="B5" s="291">
        <f>(100/40)/100*B4</f>
        <v>1</v>
      </c>
      <c r="C5" s="181"/>
      <c r="D5" s="182"/>
      <c r="E5" s="181"/>
      <c r="F5" s="183"/>
      <c r="G5" s="184"/>
      <c r="H5" s="185"/>
      <c r="I5" s="185"/>
      <c r="J5" s="186"/>
    </row>
    <row r="6" spans="1:10" x14ac:dyDescent="0.35">
      <c r="A6" s="187" t="s">
        <v>3</v>
      </c>
      <c r="B6" s="188">
        <f>385/100*B4</f>
        <v>154</v>
      </c>
      <c r="C6" s="189"/>
      <c r="D6" s="190"/>
      <c r="E6" s="189"/>
      <c r="F6" s="191"/>
      <c r="G6" s="192"/>
      <c r="H6" s="193"/>
      <c r="I6" s="193"/>
      <c r="J6" s="194"/>
    </row>
    <row r="7" spans="1:10" x14ac:dyDescent="0.35">
      <c r="A7" s="195" t="s">
        <v>4</v>
      </c>
      <c r="B7" s="196">
        <f>B2</f>
        <v>0</v>
      </c>
      <c r="C7" s="197">
        <v>13</v>
      </c>
      <c r="D7" s="198">
        <f>B7/C7</f>
        <v>0</v>
      </c>
      <c r="E7" s="197">
        <v>19</v>
      </c>
      <c r="F7" s="199">
        <f>B7/E7</f>
        <v>0</v>
      </c>
      <c r="G7" s="200">
        <v>34</v>
      </c>
      <c r="H7" s="201">
        <f>B7/G7</f>
        <v>0</v>
      </c>
      <c r="I7" s="200">
        <v>34</v>
      </c>
      <c r="J7" s="202">
        <f>B7/I7</f>
        <v>0</v>
      </c>
    </row>
    <row r="8" spans="1:10" x14ac:dyDescent="0.35">
      <c r="A8" s="203" t="s">
        <v>5</v>
      </c>
      <c r="B8" s="204">
        <f>13/100*B4</f>
        <v>5.2</v>
      </c>
      <c r="C8" s="205"/>
      <c r="D8" s="206"/>
      <c r="E8" s="205"/>
      <c r="F8" s="207"/>
      <c r="G8" s="208"/>
      <c r="H8" s="209"/>
      <c r="I8" s="210"/>
      <c r="J8" s="211"/>
    </row>
    <row r="9" spans="1:10" x14ac:dyDescent="0.35">
      <c r="A9" s="212" t="s">
        <v>69</v>
      </c>
      <c r="B9" s="292">
        <f>3.1/100*B4</f>
        <v>1.24</v>
      </c>
      <c r="C9" s="49"/>
      <c r="D9" s="50"/>
      <c r="E9" s="49"/>
      <c r="F9" s="50"/>
      <c r="G9" s="208"/>
      <c r="H9" s="209"/>
      <c r="I9" s="210"/>
      <c r="J9" s="211"/>
    </row>
    <row r="10" spans="1:10" x14ac:dyDescent="0.35">
      <c r="A10" s="212" t="s">
        <v>70</v>
      </c>
      <c r="B10" s="292">
        <f>6.9/100*B4</f>
        <v>2.7600000000000002</v>
      </c>
      <c r="C10" s="49"/>
      <c r="D10" s="50"/>
      <c r="E10" s="49"/>
      <c r="F10" s="50"/>
      <c r="G10" s="208"/>
      <c r="H10" s="209"/>
      <c r="I10" s="210"/>
      <c r="J10" s="211"/>
    </row>
    <row r="11" spans="1:10" x14ac:dyDescent="0.35">
      <c r="A11" s="212" t="s">
        <v>71</v>
      </c>
      <c r="B11" s="292">
        <f>2.9/100*B4</f>
        <v>1.1599999999999999</v>
      </c>
      <c r="C11" s="49"/>
      <c r="D11" s="50"/>
      <c r="E11" s="49"/>
      <c r="F11" s="50"/>
      <c r="G11" s="208"/>
      <c r="H11" s="209"/>
      <c r="I11" s="210"/>
      <c r="J11" s="211"/>
    </row>
    <row r="12" spans="1:10" x14ac:dyDescent="0.35">
      <c r="A12" s="117" t="s">
        <v>6</v>
      </c>
      <c r="B12" s="64">
        <f>45/100*B4</f>
        <v>18</v>
      </c>
      <c r="C12" s="213">
        <v>130</v>
      </c>
      <c r="D12" s="66">
        <f>B12/C12</f>
        <v>0.13846153846153847</v>
      </c>
      <c r="E12" s="213">
        <v>130</v>
      </c>
      <c r="F12" s="66">
        <f>B12/E12</f>
        <v>0.13846153846153847</v>
      </c>
      <c r="G12" s="200">
        <v>130</v>
      </c>
      <c r="H12" s="201">
        <f>B12/G12</f>
        <v>0.13846153846153847</v>
      </c>
      <c r="I12" s="200">
        <v>130</v>
      </c>
      <c r="J12" s="202">
        <f>B12/I12</f>
        <v>0.13846153846153847</v>
      </c>
    </row>
    <row r="13" spans="1:10" ht="15" thickBot="1" x14ac:dyDescent="0.4">
      <c r="A13" s="218" t="s">
        <v>72</v>
      </c>
      <c r="B13" s="77">
        <f>3.9/100*B4</f>
        <v>1.56</v>
      </c>
      <c r="C13" s="78">
        <v>19</v>
      </c>
      <c r="D13" s="79">
        <f>B13/C13</f>
        <v>8.2105263157894737E-2</v>
      </c>
      <c r="E13" s="78">
        <v>25</v>
      </c>
      <c r="F13" s="79">
        <f>B13/E13</f>
        <v>6.2400000000000004E-2</v>
      </c>
      <c r="G13" s="215">
        <v>31</v>
      </c>
      <c r="H13" s="216">
        <f>B13/G13</f>
        <v>5.0322580645161291E-2</v>
      </c>
      <c r="I13" s="215">
        <v>26</v>
      </c>
      <c r="J13" s="217">
        <f>B13/I13</f>
        <v>6.0000000000000005E-2</v>
      </c>
    </row>
    <row r="14" spans="1:10" ht="44" thickBot="1" x14ac:dyDescent="0.4">
      <c r="A14" s="374" t="s">
        <v>7</v>
      </c>
      <c r="B14" s="375"/>
      <c r="C14" s="167" t="s">
        <v>75</v>
      </c>
      <c r="D14" s="167" t="s">
        <v>60</v>
      </c>
      <c r="E14" s="31" t="s">
        <v>76</v>
      </c>
      <c r="F14" s="168" t="s">
        <v>77</v>
      </c>
      <c r="G14" s="169" t="s">
        <v>78</v>
      </c>
      <c r="H14" s="169" t="s">
        <v>79</v>
      </c>
      <c r="I14" s="170" t="s">
        <v>80</v>
      </c>
      <c r="J14" s="170" t="s">
        <v>81</v>
      </c>
    </row>
    <row r="15" spans="1:10" x14ac:dyDescent="0.35">
      <c r="A15" s="228" t="s">
        <v>8</v>
      </c>
      <c r="B15" s="229">
        <f>637/100*B4</f>
        <v>254.8</v>
      </c>
      <c r="C15" s="230">
        <v>300</v>
      </c>
      <c r="D15" s="231">
        <f t="shared" ref="D15:D41" si="0">B15/C15</f>
        <v>0.84933333333333338</v>
      </c>
      <c r="E15" s="230">
        <v>400</v>
      </c>
      <c r="F15" s="232">
        <f t="shared" ref="F15:F28" si="1">B15/E15</f>
        <v>0.63700000000000001</v>
      </c>
      <c r="G15" s="233">
        <v>600</v>
      </c>
      <c r="H15" s="234">
        <f>B15/G15</f>
        <v>0.42466666666666669</v>
      </c>
      <c r="I15" s="233">
        <v>600</v>
      </c>
      <c r="J15" s="235">
        <f>B15/I15</f>
        <v>0.42466666666666669</v>
      </c>
    </row>
    <row r="16" spans="1:10" x14ac:dyDescent="0.35">
      <c r="A16" s="187" t="s">
        <v>9</v>
      </c>
      <c r="B16" s="188">
        <f>15/100*B4</f>
        <v>6</v>
      </c>
      <c r="C16" s="236">
        <v>15</v>
      </c>
      <c r="D16" s="237">
        <f t="shared" si="0"/>
        <v>0.4</v>
      </c>
      <c r="E16" s="236">
        <v>15</v>
      </c>
      <c r="F16" s="191">
        <f t="shared" si="1"/>
        <v>0.4</v>
      </c>
      <c r="G16" s="238">
        <v>15</v>
      </c>
      <c r="H16" s="239">
        <f t="shared" ref="H16:H28" si="2">B16/G16</f>
        <v>0.4</v>
      </c>
      <c r="I16" s="238">
        <v>15</v>
      </c>
      <c r="J16" s="240">
        <f t="shared" ref="J16:J28" si="3">B16/I16</f>
        <v>0.4</v>
      </c>
    </row>
    <row r="17" spans="1:10" x14ac:dyDescent="0.35">
      <c r="A17" s="195" t="s">
        <v>10</v>
      </c>
      <c r="B17" s="196">
        <f>12.8/100*B4</f>
        <v>5.12</v>
      </c>
      <c r="C17" s="197">
        <v>6</v>
      </c>
      <c r="D17" s="198">
        <f t="shared" si="0"/>
        <v>0.85333333333333339</v>
      </c>
      <c r="E17" s="197">
        <v>7</v>
      </c>
      <c r="F17" s="199">
        <f t="shared" si="1"/>
        <v>0.73142857142857143</v>
      </c>
      <c r="G17" s="241">
        <v>11</v>
      </c>
      <c r="H17" s="201">
        <f t="shared" si="2"/>
        <v>0.46545454545454545</v>
      </c>
      <c r="I17" s="241">
        <v>11</v>
      </c>
      <c r="J17" s="202">
        <f t="shared" si="3"/>
        <v>0.46545454545454545</v>
      </c>
    </row>
    <row r="18" spans="1:10" x14ac:dyDescent="0.35">
      <c r="A18" s="187" t="s">
        <v>11</v>
      </c>
      <c r="B18" s="188">
        <f>70/100*B4</f>
        <v>28</v>
      </c>
      <c r="C18" s="189">
        <v>30</v>
      </c>
      <c r="D18" s="237">
        <f t="shared" si="0"/>
        <v>0.93333333333333335</v>
      </c>
      <c r="E18" s="189">
        <v>55</v>
      </c>
      <c r="F18" s="191">
        <f t="shared" si="1"/>
        <v>0.50909090909090904</v>
      </c>
      <c r="G18" s="242">
        <v>60</v>
      </c>
      <c r="H18" s="239">
        <f t="shared" si="2"/>
        <v>0.46666666666666667</v>
      </c>
      <c r="I18" s="242">
        <v>60</v>
      </c>
      <c r="J18" s="240">
        <f t="shared" si="3"/>
        <v>0.46666666666666667</v>
      </c>
    </row>
    <row r="19" spans="1:10" x14ac:dyDescent="0.35">
      <c r="A19" s="195" t="s">
        <v>12</v>
      </c>
      <c r="B19" s="243">
        <f>1.5/100*B4</f>
        <v>0.6</v>
      </c>
      <c r="C19" s="197">
        <v>0.5</v>
      </c>
      <c r="D19" s="198">
        <f t="shared" si="0"/>
        <v>1.2</v>
      </c>
      <c r="E19" s="197">
        <v>0.6</v>
      </c>
      <c r="F19" s="199">
        <f t="shared" si="1"/>
        <v>1</v>
      </c>
      <c r="G19" s="244">
        <v>0.9</v>
      </c>
      <c r="H19" s="201">
        <f t="shared" si="2"/>
        <v>0.66666666666666663</v>
      </c>
      <c r="I19" s="244">
        <v>0.9</v>
      </c>
      <c r="J19" s="202">
        <f t="shared" si="3"/>
        <v>0.66666666666666663</v>
      </c>
    </row>
    <row r="20" spans="1:10" x14ac:dyDescent="0.35">
      <c r="A20" s="187" t="s">
        <v>13</v>
      </c>
      <c r="B20" s="245">
        <f>1.5/100*B4</f>
        <v>0.6</v>
      </c>
      <c r="C20" s="236">
        <v>0.5</v>
      </c>
      <c r="D20" s="237">
        <f t="shared" si="0"/>
        <v>1.2</v>
      </c>
      <c r="E20" s="236">
        <v>0.6</v>
      </c>
      <c r="F20" s="191">
        <f t="shared" si="1"/>
        <v>1</v>
      </c>
      <c r="G20" s="246">
        <v>0.9</v>
      </c>
      <c r="H20" s="247">
        <f t="shared" si="2"/>
        <v>0.66666666666666663</v>
      </c>
      <c r="I20" s="246">
        <v>0.9</v>
      </c>
      <c r="J20" s="248">
        <f t="shared" si="3"/>
        <v>0.66666666666666663</v>
      </c>
    </row>
    <row r="21" spans="1:10" x14ac:dyDescent="0.35">
      <c r="A21" s="195" t="s">
        <v>14</v>
      </c>
      <c r="B21" s="243">
        <f>1.4/100*B4</f>
        <v>0.55999999999999994</v>
      </c>
      <c r="C21" s="197">
        <v>0.5</v>
      </c>
      <c r="D21" s="198">
        <f t="shared" si="0"/>
        <v>1.1199999999999999</v>
      </c>
      <c r="E21" s="197">
        <v>0.6</v>
      </c>
      <c r="F21" s="199">
        <f t="shared" si="1"/>
        <v>0.93333333333333324</v>
      </c>
      <c r="G21" s="244">
        <v>1</v>
      </c>
      <c r="H21" s="201">
        <f t="shared" si="2"/>
        <v>0.55999999999999994</v>
      </c>
      <c r="I21" s="244">
        <v>1</v>
      </c>
      <c r="J21" s="202">
        <f t="shared" si="3"/>
        <v>0.55999999999999994</v>
      </c>
    </row>
    <row r="22" spans="1:10" x14ac:dyDescent="0.35">
      <c r="A22" s="187" t="s">
        <v>15</v>
      </c>
      <c r="B22" s="245">
        <f>3/100*B4</f>
        <v>1.2</v>
      </c>
      <c r="C22" s="236">
        <v>0.9</v>
      </c>
      <c r="D22" s="237">
        <f t="shared" si="0"/>
        <v>1.3333333333333333</v>
      </c>
      <c r="E22" s="236">
        <v>1.2</v>
      </c>
      <c r="F22" s="191">
        <f t="shared" si="1"/>
        <v>1</v>
      </c>
      <c r="G22" s="246">
        <v>1.8</v>
      </c>
      <c r="H22" s="247">
        <f t="shared" si="2"/>
        <v>0.66666666666666663</v>
      </c>
      <c r="I22" s="246">
        <v>1.8</v>
      </c>
      <c r="J22" s="248">
        <f t="shared" si="3"/>
        <v>0.66666666666666663</v>
      </c>
    </row>
    <row r="23" spans="1:10" x14ac:dyDescent="0.35">
      <c r="A23" s="195" t="s">
        <v>56</v>
      </c>
      <c r="B23" s="243">
        <f>15.5/100*B4</f>
        <v>6.2</v>
      </c>
      <c r="C23" s="197">
        <v>6</v>
      </c>
      <c r="D23" s="198">
        <f t="shared" si="0"/>
        <v>1.0333333333333334</v>
      </c>
      <c r="E23" s="197">
        <v>8</v>
      </c>
      <c r="F23" s="199">
        <f t="shared" si="1"/>
        <v>0.77500000000000002</v>
      </c>
      <c r="G23" s="241">
        <v>12</v>
      </c>
      <c r="H23" s="201">
        <f t="shared" si="2"/>
        <v>0.51666666666666672</v>
      </c>
      <c r="I23" s="241">
        <v>12</v>
      </c>
      <c r="J23" s="202">
        <f t="shared" si="3"/>
        <v>0.51666666666666672</v>
      </c>
    </row>
    <row r="24" spans="1:10" x14ac:dyDescent="0.35">
      <c r="A24" s="187" t="s">
        <v>16</v>
      </c>
      <c r="B24" s="188">
        <f>300/100*B4</f>
        <v>120</v>
      </c>
      <c r="C24" s="236">
        <v>150</v>
      </c>
      <c r="D24" s="237">
        <f t="shared" si="0"/>
        <v>0.8</v>
      </c>
      <c r="E24" s="236">
        <v>200</v>
      </c>
      <c r="F24" s="191">
        <f t="shared" si="1"/>
        <v>0.6</v>
      </c>
      <c r="G24" s="249">
        <v>300</v>
      </c>
      <c r="H24" s="247">
        <f t="shared" si="2"/>
        <v>0.4</v>
      </c>
      <c r="I24" s="249">
        <v>300</v>
      </c>
      <c r="J24" s="248">
        <f t="shared" si="3"/>
        <v>0.4</v>
      </c>
    </row>
    <row r="25" spans="1:10" x14ac:dyDescent="0.35">
      <c r="A25" s="195" t="s">
        <v>17</v>
      </c>
      <c r="B25" s="196">
        <f>7.5/100*B4</f>
        <v>3</v>
      </c>
      <c r="C25" s="250">
        <v>2</v>
      </c>
      <c r="D25" s="198">
        <f t="shared" si="0"/>
        <v>1.5</v>
      </c>
      <c r="E25" s="250">
        <v>3</v>
      </c>
      <c r="F25" s="199">
        <f t="shared" si="1"/>
        <v>1</v>
      </c>
      <c r="G25" s="251">
        <v>4</v>
      </c>
      <c r="H25" s="252">
        <f t="shared" si="2"/>
        <v>0.75</v>
      </c>
      <c r="I25" s="251">
        <v>4</v>
      </c>
      <c r="J25" s="253">
        <f t="shared" si="3"/>
        <v>0.75</v>
      </c>
    </row>
    <row r="26" spans="1:10" x14ac:dyDescent="0.35">
      <c r="A26" s="187" t="s">
        <v>18</v>
      </c>
      <c r="B26" s="188">
        <f>30/100*B4</f>
        <v>12</v>
      </c>
      <c r="C26" s="189">
        <v>8</v>
      </c>
      <c r="D26" s="237">
        <f t="shared" si="0"/>
        <v>1.5</v>
      </c>
      <c r="E26" s="189">
        <v>12</v>
      </c>
      <c r="F26" s="191">
        <f t="shared" si="1"/>
        <v>1</v>
      </c>
      <c r="G26" s="242">
        <v>20</v>
      </c>
      <c r="H26" s="239">
        <f t="shared" si="2"/>
        <v>0.6</v>
      </c>
      <c r="I26" s="242">
        <v>20</v>
      </c>
      <c r="J26" s="240">
        <f t="shared" si="3"/>
        <v>0.6</v>
      </c>
    </row>
    <row r="27" spans="1:10" x14ac:dyDescent="0.35">
      <c r="A27" s="195" t="s">
        <v>19</v>
      </c>
      <c r="B27" s="293">
        <f>60/100*B4</f>
        <v>24</v>
      </c>
      <c r="C27" s="197">
        <v>15</v>
      </c>
      <c r="D27" s="198">
        <f t="shared" si="0"/>
        <v>1.6</v>
      </c>
      <c r="E27" s="197">
        <v>25</v>
      </c>
      <c r="F27" s="199">
        <f t="shared" si="1"/>
        <v>0.96</v>
      </c>
      <c r="G27" s="241">
        <v>45</v>
      </c>
      <c r="H27" s="201">
        <f t="shared" si="2"/>
        <v>0.53333333333333333</v>
      </c>
      <c r="I27" s="241">
        <v>45</v>
      </c>
      <c r="J27" s="202">
        <f t="shared" si="3"/>
        <v>0.53333333333333333</v>
      </c>
    </row>
    <row r="28" spans="1:10" x14ac:dyDescent="0.35">
      <c r="A28" s="187" t="s">
        <v>20</v>
      </c>
      <c r="B28" s="188">
        <f>313/100*B4</f>
        <v>125.19999999999999</v>
      </c>
      <c r="C28" s="205">
        <v>200</v>
      </c>
      <c r="D28" s="206">
        <f t="shared" si="0"/>
        <v>0.62599999999999989</v>
      </c>
      <c r="E28" s="205">
        <v>250</v>
      </c>
      <c r="F28" s="207">
        <f t="shared" si="1"/>
        <v>0.50079999999999991</v>
      </c>
      <c r="G28" s="242">
        <v>375</v>
      </c>
      <c r="H28" s="239">
        <f t="shared" si="2"/>
        <v>0.33386666666666664</v>
      </c>
      <c r="I28" s="242">
        <v>375</v>
      </c>
      <c r="J28" s="240">
        <f t="shared" si="3"/>
        <v>0.33386666666666664</v>
      </c>
    </row>
    <row r="29" spans="1:10" ht="15" thickBot="1" x14ac:dyDescent="0.4">
      <c r="A29" s="254" t="s">
        <v>21</v>
      </c>
      <c r="B29" s="255">
        <f>50/100*B4</f>
        <v>20</v>
      </c>
      <c r="C29" s="256" t="s">
        <v>22</v>
      </c>
      <c r="D29" s="257"/>
      <c r="E29" s="256" t="s">
        <v>22</v>
      </c>
      <c r="F29" s="258"/>
      <c r="G29" s="259" t="s">
        <v>22</v>
      </c>
      <c r="H29" s="260"/>
      <c r="I29" s="259" t="s">
        <v>22</v>
      </c>
      <c r="J29" s="261"/>
    </row>
    <row r="30" spans="1:10" ht="44" thickBot="1" x14ac:dyDescent="0.4">
      <c r="A30" s="362" t="s">
        <v>23</v>
      </c>
      <c r="B30" s="363"/>
      <c r="C30" s="167" t="s">
        <v>75</v>
      </c>
      <c r="D30" s="167" t="s">
        <v>60</v>
      </c>
      <c r="E30" s="31" t="s">
        <v>76</v>
      </c>
      <c r="F30" s="168" t="s">
        <v>77</v>
      </c>
      <c r="G30" s="262" t="s">
        <v>78</v>
      </c>
      <c r="H30" s="262" t="s">
        <v>79</v>
      </c>
      <c r="I30" s="263" t="s">
        <v>80</v>
      </c>
      <c r="J30" s="263" t="s">
        <v>81</v>
      </c>
    </row>
    <row r="31" spans="1:10" x14ac:dyDescent="0.35">
      <c r="A31" s="294" t="s">
        <v>24</v>
      </c>
      <c r="B31" s="229">
        <f>1257/100*B4</f>
        <v>502.8</v>
      </c>
      <c r="C31" s="230">
        <v>700</v>
      </c>
      <c r="D31" s="231">
        <f t="shared" si="0"/>
        <v>0.71828571428571431</v>
      </c>
      <c r="E31" s="230">
        <v>1000</v>
      </c>
      <c r="F31" s="232">
        <f t="shared" ref="F31:F41" si="4">B31/E31</f>
        <v>0.50280000000000002</v>
      </c>
      <c r="G31" s="264">
        <v>1300</v>
      </c>
      <c r="H31" s="265">
        <f>B31/G31</f>
        <v>0.38676923076923075</v>
      </c>
      <c r="I31" s="264">
        <v>1300</v>
      </c>
      <c r="J31" s="266">
        <f>B31/I31</f>
        <v>0.38676923076923075</v>
      </c>
    </row>
    <row r="32" spans="1:10" x14ac:dyDescent="0.35">
      <c r="A32" s="187" t="s">
        <v>25</v>
      </c>
      <c r="B32" s="267">
        <f>787/100*B4</f>
        <v>314.8</v>
      </c>
      <c r="C32" s="236">
        <v>460</v>
      </c>
      <c r="D32" s="237">
        <f t="shared" si="0"/>
        <v>0.68434782608695655</v>
      </c>
      <c r="E32" s="236">
        <v>500</v>
      </c>
      <c r="F32" s="191">
        <f t="shared" si="4"/>
        <v>0.62960000000000005</v>
      </c>
      <c r="G32" s="249">
        <v>1250</v>
      </c>
      <c r="H32" s="247">
        <f t="shared" ref="H32:H44" si="5">B32/G32</f>
        <v>0.25184000000000001</v>
      </c>
      <c r="I32" s="249">
        <v>1250</v>
      </c>
      <c r="J32" s="248">
        <f t="shared" ref="J32:J44" si="6">B32/I32</f>
        <v>0.25184000000000001</v>
      </c>
    </row>
    <row r="33" spans="1:10" x14ac:dyDescent="0.35">
      <c r="A33" s="195" t="s">
        <v>26</v>
      </c>
      <c r="B33" s="196">
        <f>201/100*B4</f>
        <v>80.399999999999991</v>
      </c>
      <c r="C33" s="197">
        <v>80</v>
      </c>
      <c r="D33" s="198">
        <f t="shared" si="0"/>
        <v>1.0049999999999999</v>
      </c>
      <c r="E33" s="197">
        <v>130</v>
      </c>
      <c r="F33" s="199">
        <f t="shared" si="4"/>
        <v>0.6184615384615384</v>
      </c>
      <c r="G33" s="241">
        <v>240</v>
      </c>
      <c r="H33" s="201">
        <f t="shared" si="5"/>
        <v>0.33499999999999996</v>
      </c>
      <c r="I33" s="241">
        <v>240</v>
      </c>
      <c r="J33" s="202">
        <f t="shared" si="6"/>
        <v>0.33499999999999996</v>
      </c>
    </row>
    <row r="34" spans="1:10" x14ac:dyDescent="0.35">
      <c r="A34" s="187" t="s">
        <v>27</v>
      </c>
      <c r="B34" s="188">
        <f>11.3/100*B4</f>
        <v>4.5200000000000005</v>
      </c>
      <c r="C34" s="236">
        <v>7</v>
      </c>
      <c r="D34" s="237">
        <f t="shared" si="0"/>
        <v>0.6457142857142858</v>
      </c>
      <c r="E34" s="236">
        <v>10</v>
      </c>
      <c r="F34" s="191">
        <f t="shared" si="4"/>
        <v>0.45200000000000007</v>
      </c>
      <c r="G34" s="249">
        <v>8</v>
      </c>
      <c r="H34" s="247">
        <f t="shared" si="5"/>
        <v>0.56500000000000006</v>
      </c>
      <c r="I34" s="249">
        <v>8</v>
      </c>
      <c r="J34" s="248">
        <f t="shared" si="6"/>
        <v>0.56500000000000006</v>
      </c>
    </row>
    <row r="35" spans="1:10" x14ac:dyDescent="0.35">
      <c r="A35" s="195" t="s">
        <v>28</v>
      </c>
      <c r="B35" s="196">
        <f>10/100*B4</f>
        <v>4</v>
      </c>
      <c r="C35" s="197">
        <v>3</v>
      </c>
      <c r="D35" s="198">
        <f t="shared" si="0"/>
        <v>1.3333333333333333</v>
      </c>
      <c r="E35" s="197">
        <v>5</v>
      </c>
      <c r="F35" s="199">
        <f t="shared" si="4"/>
        <v>0.8</v>
      </c>
      <c r="G35" s="241">
        <v>8</v>
      </c>
      <c r="H35" s="201">
        <f t="shared" si="5"/>
        <v>0.5</v>
      </c>
      <c r="I35" s="241">
        <v>8</v>
      </c>
      <c r="J35" s="202">
        <f t="shared" si="6"/>
        <v>0.5</v>
      </c>
    </row>
    <row r="36" spans="1:10" x14ac:dyDescent="0.35">
      <c r="A36" s="187" t="s">
        <v>29</v>
      </c>
      <c r="B36" s="245">
        <f>1.9/100*B4</f>
        <v>0.76</v>
      </c>
      <c r="C36" s="189">
        <v>1.2</v>
      </c>
      <c r="D36" s="237">
        <f t="shared" si="0"/>
        <v>0.63333333333333341</v>
      </c>
      <c r="E36" s="189">
        <v>1.5</v>
      </c>
      <c r="F36" s="191">
        <f t="shared" si="4"/>
        <v>0.50666666666666671</v>
      </c>
      <c r="G36" s="268">
        <v>1.9</v>
      </c>
      <c r="H36" s="239">
        <f t="shared" si="5"/>
        <v>0.4</v>
      </c>
      <c r="I36" s="268">
        <v>1.6</v>
      </c>
      <c r="J36" s="240">
        <f t="shared" si="6"/>
        <v>0.47499999999999998</v>
      </c>
    </row>
    <row r="37" spans="1:10" x14ac:dyDescent="0.35">
      <c r="A37" s="195" t="s">
        <v>30</v>
      </c>
      <c r="B37" s="269">
        <f>1000/100*B4</f>
        <v>400</v>
      </c>
      <c r="C37" s="197">
        <v>340</v>
      </c>
      <c r="D37" s="198">
        <f t="shared" si="0"/>
        <v>1.1764705882352942</v>
      </c>
      <c r="E37" s="197">
        <v>440</v>
      </c>
      <c r="F37" s="199">
        <f t="shared" si="4"/>
        <v>0.90909090909090906</v>
      </c>
      <c r="G37" s="241">
        <v>700</v>
      </c>
      <c r="H37" s="201">
        <f t="shared" si="5"/>
        <v>0.5714285714285714</v>
      </c>
      <c r="I37" s="241">
        <v>700</v>
      </c>
      <c r="J37" s="202">
        <f t="shared" si="6"/>
        <v>0.5714285714285714</v>
      </c>
    </row>
    <row r="38" spans="1:10" x14ac:dyDescent="0.35">
      <c r="A38" s="187" t="s">
        <v>31</v>
      </c>
      <c r="B38" s="188">
        <f>115/100*B4</f>
        <v>46</v>
      </c>
      <c r="C38" s="236">
        <v>90</v>
      </c>
      <c r="D38" s="237">
        <f t="shared" si="0"/>
        <v>0.51111111111111107</v>
      </c>
      <c r="E38" s="236">
        <v>90</v>
      </c>
      <c r="F38" s="191">
        <f t="shared" si="4"/>
        <v>0.51111111111111107</v>
      </c>
      <c r="G38" s="249">
        <v>120</v>
      </c>
      <c r="H38" s="247">
        <f t="shared" si="5"/>
        <v>0.38333333333333336</v>
      </c>
      <c r="I38" s="249">
        <v>120</v>
      </c>
      <c r="J38" s="248">
        <f t="shared" si="6"/>
        <v>0.38333333333333336</v>
      </c>
    </row>
    <row r="39" spans="1:10" x14ac:dyDescent="0.35">
      <c r="A39" s="195" t="s">
        <v>32</v>
      </c>
      <c r="B39" s="196">
        <f>31/100*B4</f>
        <v>12.4</v>
      </c>
      <c r="C39" s="197">
        <v>17</v>
      </c>
      <c r="D39" s="198">
        <f t="shared" si="0"/>
        <v>0.72941176470588243</v>
      </c>
      <c r="E39" s="197">
        <v>22</v>
      </c>
      <c r="F39" s="199">
        <f t="shared" si="4"/>
        <v>0.5636363636363636</v>
      </c>
      <c r="G39" s="241">
        <v>34</v>
      </c>
      <c r="H39" s="201">
        <f t="shared" si="5"/>
        <v>0.36470588235294121</v>
      </c>
      <c r="I39" s="241">
        <v>34</v>
      </c>
      <c r="J39" s="202">
        <f t="shared" si="6"/>
        <v>0.36470588235294121</v>
      </c>
    </row>
    <row r="40" spans="1:10" x14ac:dyDescent="0.35">
      <c r="A40" s="187" t="s">
        <v>33</v>
      </c>
      <c r="B40" s="188">
        <f>21/100*B4</f>
        <v>8.4</v>
      </c>
      <c r="C40" s="189">
        <v>11</v>
      </c>
      <c r="D40" s="237">
        <f t="shared" si="0"/>
        <v>0.76363636363636367</v>
      </c>
      <c r="E40" s="189">
        <v>15</v>
      </c>
      <c r="F40" s="191">
        <f t="shared" si="4"/>
        <v>0.56000000000000005</v>
      </c>
      <c r="G40" s="242">
        <v>25</v>
      </c>
      <c r="H40" s="239">
        <f t="shared" si="5"/>
        <v>0.33600000000000002</v>
      </c>
      <c r="I40" s="242">
        <v>21</v>
      </c>
      <c r="J40" s="240">
        <f t="shared" si="6"/>
        <v>0.4</v>
      </c>
    </row>
    <row r="41" spans="1:10" x14ac:dyDescent="0.35">
      <c r="A41" s="195" t="s">
        <v>34</v>
      </c>
      <c r="B41" s="196">
        <f>63/100*B4</f>
        <v>25.2</v>
      </c>
      <c r="C41" s="270">
        <v>20</v>
      </c>
      <c r="D41" s="271">
        <f t="shared" si="0"/>
        <v>1.26</v>
      </c>
      <c r="E41" s="270">
        <v>30</v>
      </c>
      <c r="F41" s="272">
        <f t="shared" si="4"/>
        <v>0.84</v>
      </c>
      <c r="G41" s="241">
        <v>40</v>
      </c>
      <c r="H41" s="201">
        <f t="shared" si="5"/>
        <v>0.63</v>
      </c>
      <c r="I41" s="241">
        <v>40</v>
      </c>
      <c r="J41" s="202">
        <f t="shared" si="6"/>
        <v>0.63</v>
      </c>
    </row>
    <row r="42" spans="1:10" x14ac:dyDescent="0.35">
      <c r="A42" s="187" t="s">
        <v>35</v>
      </c>
      <c r="B42" s="267">
        <f>384/100*B4</f>
        <v>153.6</v>
      </c>
      <c r="C42" s="273">
        <v>800</v>
      </c>
      <c r="D42" s="274">
        <f>B42/C42</f>
        <v>0.192</v>
      </c>
      <c r="E42" s="273">
        <v>1000</v>
      </c>
      <c r="F42" s="275">
        <f>B42/E42</f>
        <v>0.15359999999999999</v>
      </c>
      <c r="G42" s="242">
        <v>1200</v>
      </c>
      <c r="H42" s="239">
        <f t="shared" si="5"/>
        <v>0.128</v>
      </c>
      <c r="I42" s="242">
        <v>1200</v>
      </c>
      <c r="J42" s="240">
        <f t="shared" si="6"/>
        <v>0.128</v>
      </c>
    </row>
    <row r="43" spans="1:10" x14ac:dyDescent="0.35">
      <c r="A43" s="254" t="s">
        <v>36</v>
      </c>
      <c r="B43" s="276">
        <f>874/100*B4</f>
        <v>349.6</v>
      </c>
      <c r="C43" s="277">
        <v>2000</v>
      </c>
      <c r="D43" s="278">
        <f>B43/C43</f>
        <v>0.17480000000000001</v>
      </c>
      <c r="E43" s="277">
        <v>2300</v>
      </c>
      <c r="F43" s="279">
        <f>B43/E43</f>
        <v>0.152</v>
      </c>
      <c r="G43" s="251">
        <v>2500</v>
      </c>
      <c r="H43" s="252">
        <f t="shared" si="5"/>
        <v>0.13984000000000002</v>
      </c>
      <c r="I43" s="251">
        <v>2300</v>
      </c>
      <c r="J43" s="253">
        <f t="shared" si="6"/>
        <v>0.152</v>
      </c>
    </row>
    <row r="44" spans="1:10" ht="15" thickBot="1" x14ac:dyDescent="0.4">
      <c r="A44" s="280" t="s">
        <v>37</v>
      </c>
      <c r="B44" s="281">
        <f>475/100*B4</f>
        <v>190</v>
      </c>
      <c r="C44" s="282">
        <v>1500</v>
      </c>
      <c r="D44" s="283">
        <f>B44/C44</f>
        <v>0.12666666666666668</v>
      </c>
      <c r="E44" s="282">
        <v>1900</v>
      </c>
      <c r="F44" s="284">
        <f>B44/E44</f>
        <v>0.1</v>
      </c>
      <c r="G44" s="285">
        <v>2300</v>
      </c>
      <c r="H44" s="286">
        <f t="shared" si="5"/>
        <v>8.2608695652173908E-2</v>
      </c>
      <c r="I44" s="285">
        <v>2300</v>
      </c>
      <c r="J44" s="287">
        <f t="shared" si="6"/>
        <v>8.2608695652173908E-2</v>
      </c>
    </row>
    <row r="45" spans="1:10" x14ac:dyDescent="0.35">
      <c r="A45" s="159" t="s">
        <v>62</v>
      </c>
    </row>
    <row r="46" spans="1:10" x14ac:dyDescent="0.35">
      <c r="A46" s="28" t="s">
        <v>63</v>
      </c>
    </row>
    <row r="47" spans="1:10" x14ac:dyDescent="0.35">
      <c r="A47" s="28" t="s">
        <v>61</v>
      </c>
    </row>
    <row r="48" spans="1:10" x14ac:dyDescent="0.35">
      <c r="A48" s="161" t="s">
        <v>114</v>
      </c>
    </row>
  </sheetData>
  <sheetProtection algorithmName="SHA-512" hashValue="Kxj7+lQLSDrUJBMir3iLqWIcL/0z+iXUOiZOJsB6H6YfHcZJBbVni3HXpt2zTiTcUc1668xBkY2UKcsyz+wyyg==" saltValue="JiGlMpojSaww/Ze97ep6/A==" spinCount="100000" sheet="1" objects="1" scenarios="1"/>
  <mergeCells count="4">
    <mergeCell ref="C2:J2"/>
    <mergeCell ref="A3:B3"/>
    <mergeCell ref="A14:B14"/>
    <mergeCell ref="A30:B3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E747-1119-41ED-B5D7-C382E6539FAA}">
  <sheetPr>
    <tabColor theme="4" tint="0.39997558519241921"/>
  </sheetPr>
  <dimension ref="A1:O23"/>
  <sheetViews>
    <sheetView showGridLines="0" zoomScale="80" zoomScaleNormal="80" workbookViewId="0">
      <selection sqref="A1:B1"/>
    </sheetView>
  </sheetViews>
  <sheetFormatPr defaultColWidth="9.1796875" defaultRowHeight="14.5" x14ac:dyDescent="0.35"/>
  <cols>
    <col min="1" max="1" width="20.26953125" style="28" customWidth="1"/>
    <col min="2" max="2" width="27.7265625" style="28" customWidth="1"/>
    <col min="3" max="13" width="9.1796875" style="28"/>
    <col min="14" max="14" width="4.26953125" style="28" customWidth="1"/>
    <col min="15" max="16384" width="9.1796875" style="28"/>
  </cols>
  <sheetData>
    <row r="1" spans="1:15" ht="45" customHeight="1" x14ac:dyDescent="0.35">
      <c r="A1" s="376" t="s">
        <v>87</v>
      </c>
      <c r="B1" s="377"/>
      <c r="C1" s="295"/>
      <c r="D1" s="378" t="s">
        <v>94</v>
      </c>
      <c r="E1" s="378"/>
      <c r="F1" s="378"/>
      <c r="G1" s="378"/>
      <c r="H1" s="378"/>
      <c r="I1" s="295"/>
      <c r="J1" s="295"/>
      <c r="K1" s="295"/>
      <c r="L1" s="295"/>
      <c r="M1" s="296"/>
    </row>
    <row r="2" spans="1:15" ht="45" customHeight="1" thickBot="1" x14ac:dyDescent="0.4">
      <c r="A2" s="14">
        <v>0</v>
      </c>
      <c r="D2" s="379"/>
      <c r="E2" s="379"/>
      <c r="F2" s="379"/>
      <c r="G2" s="379"/>
      <c r="H2" s="379"/>
      <c r="M2" s="297"/>
    </row>
    <row r="3" spans="1:15" x14ac:dyDescent="0.35">
      <c r="A3" s="298"/>
      <c r="M3" s="297"/>
    </row>
    <row r="4" spans="1:15" ht="15" thickBot="1" x14ac:dyDescent="0.4">
      <c r="A4" s="298"/>
      <c r="M4" s="297"/>
    </row>
    <row r="5" spans="1:15" x14ac:dyDescent="0.35">
      <c r="A5" s="380" t="s">
        <v>85</v>
      </c>
      <c r="B5" s="383" t="s">
        <v>84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5"/>
    </row>
    <row r="6" spans="1:15" x14ac:dyDescent="0.35">
      <c r="A6" s="381"/>
      <c r="B6" s="299"/>
      <c r="C6" s="300" t="s">
        <v>38</v>
      </c>
      <c r="D6" s="300" t="s">
        <v>39</v>
      </c>
      <c r="E6" s="300" t="s">
        <v>40</v>
      </c>
      <c r="F6" s="300" t="s">
        <v>41</v>
      </c>
      <c r="G6" s="300" t="s">
        <v>42</v>
      </c>
      <c r="H6" s="300" t="s">
        <v>43</v>
      </c>
      <c r="I6" s="300" t="s">
        <v>44</v>
      </c>
      <c r="J6" s="301" t="s">
        <v>45</v>
      </c>
      <c r="K6" s="301" t="s">
        <v>46</v>
      </c>
      <c r="L6" s="302" t="s">
        <v>47</v>
      </c>
      <c r="M6" s="297"/>
    </row>
    <row r="7" spans="1:15" x14ac:dyDescent="0.35">
      <c r="A7" s="381"/>
      <c r="B7" s="303" t="s">
        <v>104</v>
      </c>
      <c r="C7" s="304">
        <f>100*A2/13.5*0.9</f>
        <v>0</v>
      </c>
      <c r="D7" s="304">
        <f>100*A2/13.5*0.8</f>
        <v>0</v>
      </c>
      <c r="E7" s="304">
        <f>100*A2/13.5*0.7</f>
        <v>0</v>
      </c>
      <c r="F7" s="304">
        <f>100*A2/13.5*0.6</f>
        <v>0</v>
      </c>
      <c r="G7" s="304">
        <f>100*A2/13.5*0.5</f>
        <v>0</v>
      </c>
      <c r="H7" s="304">
        <f>100*A2/13.5*0.4</f>
        <v>0</v>
      </c>
      <c r="I7" s="304">
        <f>100*A2/13.5*0.3</f>
        <v>0</v>
      </c>
      <c r="J7" s="304">
        <f>100*A2/13.5*0.2</f>
        <v>0</v>
      </c>
      <c r="K7" s="304">
        <f>100*A2/13.5*0.1</f>
        <v>0</v>
      </c>
      <c r="L7" s="305">
        <f>100*A2/13.5*0</f>
        <v>0</v>
      </c>
      <c r="M7" s="297"/>
    </row>
    <row r="8" spans="1:15" x14ac:dyDescent="0.35">
      <c r="A8" s="381"/>
      <c r="B8" s="306" t="s">
        <v>105</v>
      </c>
      <c r="C8" s="307">
        <f>100*A2/25*0.1</f>
        <v>0</v>
      </c>
      <c r="D8" s="307">
        <f>100*A2/25*0.2</f>
        <v>0</v>
      </c>
      <c r="E8" s="307">
        <f>100*A2/25*0.3</f>
        <v>0</v>
      </c>
      <c r="F8" s="307">
        <f>100*A2/25*0.4</f>
        <v>0</v>
      </c>
      <c r="G8" s="307">
        <f>100*A2/25*0.5</f>
        <v>0</v>
      </c>
      <c r="H8" s="307">
        <f>100*A2/25*0.6</f>
        <v>0</v>
      </c>
      <c r="I8" s="307">
        <f>100*A2/25*0.7</f>
        <v>0</v>
      </c>
      <c r="J8" s="307">
        <f>100*A2/25*0.8</f>
        <v>0</v>
      </c>
      <c r="K8" s="307">
        <f>100*A2/25*0.9</f>
        <v>0</v>
      </c>
      <c r="L8" s="308">
        <f>100*A2/25*1</f>
        <v>0</v>
      </c>
      <c r="M8" s="297"/>
    </row>
    <row r="9" spans="1:15" x14ac:dyDescent="0.35">
      <c r="A9" s="381"/>
      <c r="B9" s="309" t="s">
        <v>109</v>
      </c>
      <c r="C9" s="310">
        <f>(C7*473/100)+(C8*485/100)</f>
        <v>0</v>
      </c>
      <c r="D9" s="310">
        <f t="shared" ref="D9:L9" si="0">(D7*473/100)+(D8*485/100)</f>
        <v>0</v>
      </c>
      <c r="E9" s="310">
        <f t="shared" si="0"/>
        <v>0</v>
      </c>
      <c r="F9" s="310">
        <f t="shared" si="0"/>
        <v>0</v>
      </c>
      <c r="G9" s="310">
        <f t="shared" si="0"/>
        <v>0</v>
      </c>
      <c r="H9" s="310">
        <f t="shared" si="0"/>
        <v>0</v>
      </c>
      <c r="I9" s="310">
        <f t="shared" si="0"/>
        <v>0</v>
      </c>
      <c r="J9" s="310">
        <f t="shared" si="0"/>
        <v>0</v>
      </c>
      <c r="K9" s="310">
        <f t="shared" si="0"/>
        <v>0</v>
      </c>
      <c r="L9" s="310">
        <f t="shared" si="0"/>
        <v>0</v>
      </c>
      <c r="M9" s="297"/>
    </row>
    <row r="10" spans="1:15" x14ac:dyDescent="0.35">
      <c r="A10" s="382"/>
      <c r="B10" s="311" t="s">
        <v>103</v>
      </c>
      <c r="C10" s="312">
        <f>(C8*3.9/100)+(C7*5.3/100)</f>
        <v>0</v>
      </c>
      <c r="D10" s="312">
        <f>(D8*3.9/100)+(D7*5.3/100)</f>
        <v>0</v>
      </c>
      <c r="E10" s="313">
        <f t="shared" ref="E10:J10" si="1">(E7*3.9/100)+(E8*5.3/100)</f>
        <v>0</v>
      </c>
      <c r="F10" s="313">
        <f t="shared" si="1"/>
        <v>0</v>
      </c>
      <c r="G10" s="313">
        <f t="shared" si="1"/>
        <v>0</v>
      </c>
      <c r="H10" s="313">
        <f t="shared" si="1"/>
        <v>0</v>
      </c>
      <c r="I10" s="313">
        <f t="shared" si="1"/>
        <v>0</v>
      </c>
      <c r="J10" s="313">
        <f t="shared" si="1"/>
        <v>0</v>
      </c>
      <c r="K10" s="313">
        <f>(K8*3.9/100)+(K7*5.3/100)</f>
        <v>0</v>
      </c>
      <c r="L10" s="314">
        <f>(L8*3.9/100)+(L7*5.3/100)</f>
        <v>0</v>
      </c>
      <c r="M10" s="297"/>
    </row>
    <row r="11" spans="1:15" x14ac:dyDescent="0.35">
      <c r="A11" s="298"/>
      <c r="B11" s="315"/>
      <c r="C11" s="316"/>
      <c r="D11" s="316"/>
      <c r="E11" s="316"/>
      <c r="F11" s="316"/>
      <c r="M11" s="297"/>
      <c r="O11" s="317"/>
    </row>
    <row r="12" spans="1:15" ht="15" thickBot="1" x14ac:dyDescent="0.4">
      <c r="A12" s="298"/>
      <c r="M12" s="297"/>
    </row>
    <row r="13" spans="1:15" ht="15" customHeight="1" x14ac:dyDescent="0.35">
      <c r="A13" s="386" t="s">
        <v>88</v>
      </c>
      <c r="B13" s="383" t="s">
        <v>89</v>
      </c>
      <c r="C13" s="384"/>
      <c r="D13" s="384"/>
      <c r="E13" s="384"/>
      <c r="F13" s="384"/>
      <c r="G13" s="385"/>
      <c r="M13" s="297"/>
    </row>
    <row r="14" spans="1:15" x14ac:dyDescent="0.35">
      <c r="A14" s="387"/>
      <c r="B14" s="299"/>
      <c r="C14" s="300" t="s">
        <v>38</v>
      </c>
      <c r="D14" s="300" t="s">
        <v>39</v>
      </c>
      <c r="E14" s="300" t="s">
        <v>40</v>
      </c>
      <c r="F14" s="300" t="s">
        <v>41</v>
      </c>
      <c r="G14" s="302" t="s">
        <v>42</v>
      </c>
      <c r="M14" s="297"/>
    </row>
    <row r="15" spans="1:15" x14ac:dyDescent="0.35">
      <c r="A15" s="387"/>
      <c r="B15" s="303" t="s">
        <v>104</v>
      </c>
      <c r="C15" s="304">
        <f>100*A2/13.5*0.9</f>
        <v>0</v>
      </c>
      <c r="D15" s="304">
        <f>100*A2/13.5*0.6</f>
        <v>0</v>
      </c>
      <c r="E15" s="304">
        <f>100*A2/13.5*0.4</f>
        <v>0</v>
      </c>
      <c r="F15" s="304">
        <f>100*A2/13.5*0.2</f>
        <v>0</v>
      </c>
      <c r="G15" s="305">
        <f>100*A2/13.5*0</f>
        <v>0</v>
      </c>
      <c r="M15" s="297"/>
    </row>
    <row r="16" spans="1:15" x14ac:dyDescent="0.35">
      <c r="A16" s="387"/>
      <c r="B16" s="306" t="s">
        <v>105</v>
      </c>
      <c r="C16" s="307">
        <f>100*A2/25*0.1</f>
        <v>0</v>
      </c>
      <c r="D16" s="307">
        <f>100*A2/25*0.4</f>
        <v>0</v>
      </c>
      <c r="E16" s="307">
        <f>100*A2/25*0.6</f>
        <v>0</v>
      </c>
      <c r="F16" s="307">
        <f>100*A2/25*0.8</f>
        <v>0</v>
      </c>
      <c r="G16" s="308">
        <f>100*A2/25*1</f>
        <v>0</v>
      </c>
      <c r="M16" s="297"/>
    </row>
    <row r="17" spans="1:13" x14ac:dyDescent="0.35">
      <c r="A17" s="387"/>
      <c r="B17" s="309" t="s">
        <v>109</v>
      </c>
      <c r="C17" s="310">
        <f>(C15*473/100)+(C16*485/100)</f>
        <v>0</v>
      </c>
      <c r="D17" s="310">
        <f t="shared" ref="D17:G17" si="2">(D15*473/100)+(D16*485/100)</f>
        <v>0</v>
      </c>
      <c r="E17" s="310">
        <f t="shared" si="2"/>
        <v>0</v>
      </c>
      <c r="F17" s="310">
        <f t="shared" si="2"/>
        <v>0</v>
      </c>
      <c r="G17" s="310">
        <f t="shared" si="2"/>
        <v>0</v>
      </c>
      <c r="M17" s="297"/>
    </row>
    <row r="18" spans="1:13" x14ac:dyDescent="0.35">
      <c r="A18" s="388"/>
      <c r="B18" s="311" t="s">
        <v>103</v>
      </c>
      <c r="C18" s="313">
        <f>(C16*3.9/100)+(C15*5.3/100)</f>
        <v>0</v>
      </c>
      <c r="D18" s="313">
        <f>(D16*3.9/100)+(D15*5.3/100)</f>
        <v>0</v>
      </c>
      <c r="E18" s="313">
        <f>(E16*3.9/100)+(E15*5.3/100)</f>
        <v>0</v>
      </c>
      <c r="F18" s="313">
        <f>(F16*3.9/100)+(F15*5.3/100)</f>
        <v>0</v>
      </c>
      <c r="G18" s="313">
        <f>(G16*3.9/100)+(G15*5.3/100)</f>
        <v>0</v>
      </c>
      <c r="M18" s="297"/>
    </row>
    <row r="19" spans="1:13" x14ac:dyDescent="0.35">
      <c r="A19" s="298"/>
      <c r="B19" s="315"/>
      <c r="C19" s="318"/>
      <c r="D19" s="318"/>
      <c r="E19" s="318"/>
      <c r="F19" s="318"/>
      <c r="G19" s="318"/>
      <c r="M19" s="297"/>
    </row>
    <row r="20" spans="1:13" ht="15" thickBot="1" x14ac:dyDescent="0.4">
      <c r="A20" s="31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5"/>
    </row>
    <row r="22" spans="1:13" x14ac:dyDescent="0.35">
      <c r="A22" s="161" t="s">
        <v>115</v>
      </c>
    </row>
    <row r="23" spans="1:13" x14ac:dyDescent="0.35">
      <c r="A23" s="28" t="s">
        <v>110</v>
      </c>
    </row>
  </sheetData>
  <sheetProtection algorithmName="SHA-512" hashValue="Hy9uSna1x3rws22/huXTE97KSaRsuzceMr6dIgG0v/p89R50rkr9QNgCfyrRHdMb1LTnx+Mj+4NtS1CmON/eUg==" saltValue="5fpbDICQLoQ0JpFU4CMGwQ==" spinCount="100000" sheet="1" objects="1" scenarios="1"/>
  <mergeCells count="6">
    <mergeCell ref="A1:B1"/>
    <mergeCell ref="D1:H2"/>
    <mergeCell ref="A5:A10"/>
    <mergeCell ref="B5:M5"/>
    <mergeCell ref="A13:A18"/>
    <mergeCell ref="B13:G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style="28" customWidth="1"/>
    <col min="2" max="2" width="26.6328125" style="28" customWidth="1"/>
    <col min="3" max="12" width="9.1796875" style="28"/>
    <col min="13" max="13" width="4.26953125" style="28" customWidth="1"/>
    <col min="14" max="16384" width="9.1796875" style="28"/>
  </cols>
  <sheetData>
    <row r="1" spans="1:12" ht="45" customHeight="1" x14ac:dyDescent="0.35">
      <c r="A1" s="376" t="s">
        <v>87</v>
      </c>
      <c r="B1" s="377"/>
      <c r="C1" s="295"/>
      <c r="D1" s="378" t="s">
        <v>100</v>
      </c>
      <c r="E1" s="378"/>
      <c r="F1" s="378"/>
      <c r="G1" s="378"/>
      <c r="H1" s="378"/>
      <c r="I1" s="378"/>
      <c r="J1" s="320"/>
      <c r="K1" s="295"/>
      <c r="L1" s="296"/>
    </row>
    <row r="2" spans="1:12" ht="45" customHeight="1" thickBot="1" x14ac:dyDescent="0.4">
      <c r="A2" s="1">
        <v>0</v>
      </c>
      <c r="D2" s="379"/>
      <c r="E2" s="379"/>
      <c r="F2" s="379"/>
      <c r="G2" s="379"/>
      <c r="H2" s="379"/>
      <c r="I2" s="379"/>
      <c r="J2" s="321"/>
      <c r="L2" s="297"/>
    </row>
    <row r="3" spans="1:12" x14ac:dyDescent="0.35">
      <c r="A3" s="298"/>
      <c r="L3" s="297"/>
    </row>
    <row r="4" spans="1:12" ht="15" thickBot="1" x14ac:dyDescent="0.4">
      <c r="A4" s="298"/>
      <c r="L4" s="297"/>
    </row>
    <row r="5" spans="1:12" x14ac:dyDescent="0.35">
      <c r="A5" s="380" t="s">
        <v>90</v>
      </c>
      <c r="B5" s="384" t="s">
        <v>84</v>
      </c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1:12" x14ac:dyDescent="0.35">
      <c r="A6" s="381"/>
      <c r="B6" s="322"/>
      <c r="C6" s="300" t="s">
        <v>38</v>
      </c>
      <c r="D6" s="300" t="s">
        <v>39</v>
      </c>
      <c r="E6" s="300" t="s">
        <v>40</v>
      </c>
      <c r="F6" s="300" t="s">
        <v>41</v>
      </c>
      <c r="G6" s="300" t="s">
        <v>42</v>
      </c>
      <c r="H6" s="300" t="s">
        <v>43</v>
      </c>
      <c r="I6" s="300" t="s">
        <v>44</v>
      </c>
      <c r="J6" s="300" t="s">
        <v>45</v>
      </c>
      <c r="K6" s="300" t="s">
        <v>46</v>
      </c>
      <c r="L6" s="302" t="s">
        <v>47</v>
      </c>
    </row>
    <row r="7" spans="1:12" x14ac:dyDescent="0.35">
      <c r="A7" s="381"/>
      <c r="B7" s="323" t="s">
        <v>106</v>
      </c>
      <c r="C7" s="324">
        <f>100*A2/15*0.9</f>
        <v>0</v>
      </c>
      <c r="D7" s="324">
        <f>100*A2/15*0.8</f>
        <v>0</v>
      </c>
      <c r="E7" s="324">
        <f>100*A2/15*0.7</f>
        <v>0</v>
      </c>
      <c r="F7" s="324">
        <f>100*A2/15*0.6</f>
        <v>0</v>
      </c>
      <c r="G7" s="324">
        <f>100*A2/15*0.5</f>
        <v>0</v>
      </c>
      <c r="H7" s="324">
        <f>100*A2/15*0.4</f>
        <v>0</v>
      </c>
      <c r="I7" s="324">
        <f>100*A2/15*0.3</f>
        <v>0</v>
      </c>
      <c r="J7" s="324">
        <f>100*A2/15*0.2</f>
        <v>0</v>
      </c>
      <c r="K7" s="324">
        <f>100*A2/15*0.1</f>
        <v>0</v>
      </c>
      <c r="L7" s="325">
        <f>100*A2/15*0</f>
        <v>0</v>
      </c>
    </row>
    <row r="8" spans="1:12" x14ac:dyDescent="0.35">
      <c r="A8" s="381"/>
      <c r="B8" s="326" t="s">
        <v>104</v>
      </c>
      <c r="C8" s="327">
        <f>100*A2/13.5*0.1</f>
        <v>0</v>
      </c>
      <c r="D8" s="327">
        <f>100*A2/13.5*0.2</f>
        <v>0</v>
      </c>
      <c r="E8" s="327">
        <f>100*A2/13.5*0.3</f>
        <v>0</v>
      </c>
      <c r="F8" s="327">
        <f>100*A2/13.5*0.4</f>
        <v>0</v>
      </c>
      <c r="G8" s="327">
        <f>100*A2/13.5*0.5</f>
        <v>0</v>
      </c>
      <c r="H8" s="327">
        <f>100*A2/13.5*0.6</f>
        <v>0</v>
      </c>
      <c r="I8" s="327">
        <f>100*A2/13.5*0.7</f>
        <v>0</v>
      </c>
      <c r="J8" s="327">
        <f>100*A2/13.5*0.8</f>
        <v>0</v>
      </c>
      <c r="K8" s="327">
        <f>100*A2/13.5*0.9</f>
        <v>0</v>
      </c>
      <c r="L8" s="328">
        <f>100*A2/13.5*1</f>
        <v>0</v>
      </c>
    </row>
    <row r="9" spans="1:12" x14ac:dyDescent="0.35">
      <c r="A9" s="381"/>
      <c r="B9" s="329" t="s">
        <v>109</v>
      </c>
      <c r="C9" s="330">
        <f>(C7*480/100)+(C8*473/100)</f>
        <v>0</v>
      </c>
      <c r="D9" s="330">
        <f t="shared" ref="D9:L9" si="0">(D7*480/100)+(D8*473/100)</f>
        <v>0</v>
      </c>
      <c r="E9" s="330">
        <f t="shared" si="0"/>
        <v>0</v>
      </c>
      <c r="F9" s="330">
        <f t="shared" si="0"/>
        <v>0</v>
      </c>
      <c r="G9" s="330">
        <f t="shared" si="0"/>
        <v>0</v>
      </c>
      <c r="H9" s="330">
        <f t="shared" si="0"/>
        <v>0</v>
      </c>
      <c r="I9" s="330">
        <f t="shared" si="0"/>
        <v>0</v>
      </c>
      <c r="J9" s="330">
        <f t="shared" si="0"/>
        <v>0</v>
      </c>
      <c r="K9" s="330">
        <f t="shared" si="0"/>
        <v>0</v>
      </c>
      <c r="L9" s="330">
        <f t="shared" si="0"/>
        <v>0</v>
      </c>
    </row>
    <row r="10" spans="1:12" ht="15" thickBot="1" x14ac:dyDescent="0.4">
      <c r="A10" s="382"/>
      <c r="B10" s="331" t="s">
        <v>103</v>
      </c>
      <c r="C10" s="332">
        <f t="shared" ref="C10:L10" si="1">C8*5.3/100</f>
        <v>0</v>
      </c>
      <c r="D10" s="332">
        <f t="shared" si="1"/>
        <v>0</v>
      </c>
      <c r="E10" s="332">
        <f t="shared" si="1"/>
        <v>0</v>
      </c>
      <c r="F10" s="332">
        <f t="shared" si="1"/>
        <v>0</v>
      </c>
      <c r="G10" s="332">
        <f t="shared" si="1"/>
        <v>0</v>
      </c>
      <c r="H10" s="332">
        <f t="shared" si="1"/>
        <v>0</v>
      </c>
      <c r="I10" s="332">
        <f t="shared" si="1"/>
        <v>0</v>
      </c>
      <c r="J10" s="332">
        <f t="shared" si="1"/>
        <v>0</v>
      </c>
      <c r="K10" s="332">
        <f t="shared" si="1"/>
        <v>0</v>
      </c>
      <c r="L10" s="333">
        <f t="shared" si="1"/>
        <v>0</v>
      </c>
    </row>
    <row r="11" spans="1:12" x14ac:dyDescent="0.35">
      <c r="A11" s="298"/>
      <c r="B11" s="315"/>
      <c r="C11" s="316"/>
      <c r="D11" s="316"/>
      <c r="E11" s="316"/>
      <c r="F11" s="316"/>
      <c r="L11" s="297"/>
    </row>
    <row r="12" spans="1:12" ht="15" thickBot="1" x14ac:dyDescent="0.4">
      <c r="A12" s="298"/>
      <c r="L12" s="297"/>
    </row>
    <row r="13" spans="1:12" x14ac:dyDescent="0.35">
      <c r="A13" s="386" t="s">
        <v>91</v>
      </c>
      <c r="B13" s="384" t="s">
        <v>49</v>
      </c>
      <c r="C13" s="384"/>
      <c r="D13" s="384"/>
      <c r="E13" s="384"/>
      <c r="F13" s="384"/>
      <c r="G13" s="384"/>
      <c r="H13" s="384"/>
      <c r="I13" s="385"/>
      <c r="L13" s="297"/>
    </row>
    <row r="14" spans="1:12" x14ac:dyDescent="0.35">
      <c r="A14" s="387"/>
      <c r="B14" s="322"/>
      <c r="C14" s="300" t="s">
        <v>38</v>
      </c>
      <c r="D14" s="300" t="s">
        <v>39</v>
      </c>
      <c r="E14" s="300" t="s">
        <v>40</v>
      </c>
      <c r="F14" s="300" t="s">
        <v>41</v>
      </c>
      <c r="G14" s="300" t="s">
        <v>42</v>
      </c>
      <c r="H14" s="300" t="s">
        <v>43</v>
      </c>
      <c r="I14" s="302" t="s">
        <v>44</v>
      </c>
      <c r="L14" s="297"/>
    </row>
    <row r="15" spans="1:12" x14ac:dyDescent="0.35">
      <c r="A15" s="387"/>
      <c r="B15" s="323" t="s">
        <v>106</v>
      </c>
      <c r="C15" s="324">
        <f>100*A2/15*0.857</f>
        <v>0</v>
      </c>
      <c r="D15" s="324">
        <f>100*A2/15*0.714</f>
        <v>0</v>
      </c>
      <c r="E15" s="324">
        <f>100*A2/15*0.571</f>
        <v>0</v>
      </c>
      <c r="F15" s="324">
        <f>100*A2/15*0.429</f>
        <v>0</v>
      </c>
      <c r="G15" s="324">
        <f>100*A2/15*0.286</f>
        <v>0</v>
      </c>
      <c r="H15" s="324">
        <f>100*A2/15*0.143</f>
        <v>0</v>
      </c>
      <c r="I15" s="325">
        <f>100*A2/15*0</f>
        <v>0</v>
      </c>
      <c r="L15" s="297"/>
    </row>
    <row r="16" spans="1:12" x14ac:dyDescent="0.35">
      <c r="A16" s="387"/>
      <c r="B16" s="326" t="s">
        <v>104</v>
      </c>
      <c r="C16" s="327">
        <f>100*A2/13.5*0.143</f>
        <v>0</v>
      </c>
      <c r="D16" s="327">
        <f>100*A2/13.5*0.286</f>
        <v>0</v>
      </c>
      <c r="E16" s="327">
        <f>100*A2/13.5*0.429</f>
        <v>0</v>
      </c>
      <c r="F16" s="327">
        <f>100*A2/13.5*0.571</f>
        <v>0</v>
      </c>
      <c r="G16" s="327">
        <f>100*A2/13.5*0.714</f>
        <v>0</v>
      </c>
      <c r="H16" s="327">
        <f>100*A2/13.5*0.857</f>
        <v>0</v>
      </c>
      <c r="I16" s="328">
        <f>100*A2/13.5*1</f>
        <v>0</v>
      </c>
      <c r="L16" s="297"/>
    </row>
    <row r="17" spans="1:12" x14ac:dyDescent="0.35">
      <c r="A17" s="387"/>
      <c r="B17" s="334" t="s">
        <v>109</v>
      </c>
      <c r="C17" s="330">
        <f>(C15*480/100)+(C16*473/100)</f>
        <v>0</v>
      </c>
      <c r="D17" s="330">
        <f t="shared" ref="D17:I17" si="2">(D15*480/100)+(D16*473/100)</f>
        <v>0</v>
      </c>
      <c r="E17" s="330">
        <f t="shared" si="2"/>
        <v>0</v>
      </c>
      <c r="F17" s="330">
        <f t="shared" si="2"/>
        <v>0</v>
      </c>
      <c r="G17" s="330">
        <f t="shared" si="2"/>
        <v>0</v>
      </c>
      <c r="H17" s="330">
        <f t="shared" si="2"/>
        <v>0</v>
      </c>
      <c r="I17" s="330">
        <f t="shared" si="2"/>
        <v>0</v>
      </c>
      <c r="L17" s="297"/>
    </row>
    <row r="18" spans="1:12" ht="15" thickBot="1" x14ac:dyDescent="0.4">
      <c r="A18" s="393"/>
      <c r="B18" s="335" t="s">
        <v>48</v>
      </c>
      <c r="C18" s="336">
        <f t="shared" ref="C18:I18" si="3">C16*5.3/100</f>
        <v>0</v>
      </c>
      <c r="D18" s="336">
        <f t="shared" si="3"/>
        <v>0</v>
      </c>
      <c r="E18" s="336">
        <f t="shared" si="3"/>
        <v>0</v>
      </c>
      <c r="F18" s="336">
        <f t="shared" si="3"/>
        <v>0</v>
      </c>
      <c r="G18" s="336">
        <f t="shared" si="3"/>
        <v>0</v>
      </c>
      <c r="H18" s="336">
        <f t="shared" si="3"/>
        <v>0</v>
      </c>
      <c r="I18" s="337">
        <f t="shared" si="3"/>
        <v>0</v>
      </c>
      <c r="J18" s="315" t="s">
        <v>1</v>
      </c>
      <c r="L18" s="297"/>
    </row>
    <row r="19" spans="1:12" x14ac:dyDescent="0.35">
      <c r="A19" s="298"/>
      <c r="B19" s="315"/>
      <c r="C19" s="318"/>
      <c r="D19" s="318"/>
      <c r="E19" s="318"/>
      <c r="F19" s="318"/>
      <c r="G19" s="318"/>
      <c r="H19" s="318"/>
      <c r="I19" s="318"/>
      <c r="L19" s="297"/>
    </row>
    <row r="20" spans="1:12" ht="15" thickBot="1" x14ac:dyDescent="0.4">
      <c r="A20" s="298"/>
      <c r="L20" s="297"/>
    </row>
    <row r="21" spans="1:12" x14ac:dyDescent="0.35">
      <c r="A21" s="389" t="s">
        <v>86</v>
      </c>
      <c r="B21" s="384" t="s">
        <v>50</v>
      </c>
      <c r="C21" s="384"/>
      <c r="D21" s="384"/>
      <c r="E21" s="384"/>
      <c r="F21" s="385"/>
      <c r="L21" s="297"/>
    </row>
    <row r="22" spans="1:12" x14ac:dyDescent="0.35">
      <c r="A22" s="390"/>
      <c r="B22" s="322"/>
      <c r="C22" s="300" t="s">
        <v>38</v>
      </c>
      <c r="D22" s="300" t="s">
        <v>39</v>
      </c>
      <c r="E22" s="300" t="s">
        <v>40</v>
      </c>
      <c r="F22" s="302" t="s">
        <v>41</v>
      </c>
      <c r="L22" s="297"/>
    </row>
    <row r="23" spans="1:12" x14ac:dyDescent="0.35">
      <c r="A23" s="390"/>
      <c r="B23" s="323" t="s">
        <v>106</v>
      </c>
      <c r="C23" s="324">
        <f>100*A2/15*0.75</f>
        <v>0</v>
      </c>
      <c r="D23" s="324">
        <f>100*A2/15*0.5</f>
        <v>0</v>
      </c>
      <c r="E23" s="324">
        <f>100*A2/15*0.25</f>
        <v>0</v>
      </c>
      <c r="F23" s="325">
        <f>100/15*A2*0</f>
        <v>0</v>
      </c>
      <c r="L23" s="297"/>
    </row>
    <row r="24" spans="1:12" x14ac:dyDescent="0.35">
      <c r="A24" s="390"/>
      <c r="B24" s="326" t="s">
        <v>104</v>
      </c>
      <c r="C24" s="327">
        <f>100*A2/13.5*0.25</f>
        <v>0</v>
      </c>
      <c r="D24" s="327">
        <f>100*A2/13.5*0.5</f>
        <v>0</v>
      </c>
      <c r="E24" s="327">
        <f>100*A2/13.5*0.75</f>
        <v>0</v>
      </c>
      <c r="F24" s="328">
        <f>100*A2/13.5*1</f>
        <v>0</v>
      </c>
      <c r="L24" s="297"/>
    </row>
    <row r="25" spans="1:12" x14ac:dyDescent="0.35">
      <c r="A25" s="390"/>
      <c r="B25" s="334" t="s">
        <v>109</v>
      </c>
      <c r="C25" s="330">
        <f>(C23*480/100)+(C24*473/100)</f>
        <v>0</v>
      </c>
      <c r="D25" s="330">
        <f t="shared" ref="D25:F25" si="4">(D23*480/100)+(D24*473/100)</f>
        <v>0</v>
      </c>
      <c r="E25" s="330">
        <f t="shared" si="4"/>
        <v>0</v>
      </c>
      <c r="F25" s="330">
        <f t="shared" si="4"/>
        <v>0</v>
      </c>
      <c r="L25" s="297"/>
    </row>
    <row r="26" spans="1:12" ht="15" thickBot="1" x14ac:dyDescent="0.4">
      <c r="A26" s="391"/>
      <c r="B26" s="335" t="s">
        <v>48</v>
      </c>
      <c r="C26" s="336">
        <f>C24*5.3/100</f>
        <v>0</v>
      </c>
      <c r="D26" s="336">
        <f>D24*5.3/100</f>
        <v>0</v>
      </c>
      <c r="E26" s="336">
        <f>E24*5.3/100</f>
        <v>0</v>
      </c>
      <c r="F26" s="337">
        <f>F24*5.3/100</f>
        <v>0</v>
      </c>
      <c r="L26" s="297"/>
    </row>
    <row r="27" spans="1:12" x14ac:dyDescent="0.35">
      <c r="A27" s="298"/>
      <c r="L27" s="297"/>
    </row>
    <row r="28" spans="1:12" ht="15" thickBot="1" x14ac:dyDescent="0.4">
      <c r="A28" s="319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30" spans="1:12" x14ac:dyDescent="0.35">
      <c r="A30" s="338" t="s">
        <v>118</v>
      </c>
    </row>
    <row r="31" spans="1:12" x14ac:dyDescent="0.35">
      <c r="B31" s="392"/>
      <c r="C31" s="392"/>
      <c r="D31" s="392"/>
      <c r="E31" s="392"/>
      <c r="F31" s="392"/>
      <c r="G31" s="392"/>
      <c r="H31" s="392"/>
    </row>
    <row r="32" spans="1:12" x14ac:dyDescent="0.35">
      <c r="A32" s="161" t="s">
        <v>117</v>
      </c>
    </row>
    <row r="33" spans="1:1" x14ac:dyDescent="0.35">
      <c r="A33" s="339" t="s">
        <v>110</v>
      </c>
    </row>
  </sheetData>
  <sheetProtection algorithmName="SHA-512" hashValue="DJmL7azY0+TmwHcC0oKrJIzZpPWjB7q/3vkP73ISgpxfG89fLmiiyPMyIo6w4P3pfxpsWtHkARAcwN1xuNVpmg==" saltValue="Pm357MLejMmkf5OI7N190g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C7D7-BDBE-4A33-9F27-61794F611237}">
  <sheetPr>
    <tabColor theme="6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style="28" customWidth="1"/>
    <col min="2" max="2" width="21.453125" style="28" customWidth="1"/>
    <col min="3" max="12" width="9.1796875" style="28"/>
    <col min="13" max="13" width="4.26953125" style="28" customWidth="1"/>
    <col min="14" max="16384" width="9.1796875" style="28"/>
  </cols>
  <sheetData>
    <row r="1" spans="1:12" ht="45" customHeight="1" x14ac:dyDescent="0.35">
      <c r="A1" s="376" t="s">
        <v>87</v>
      </c>
      <c r="B1" s="377"/>
      <c r="C1" s="295"/>
      <c r="D1" s="378" t="s">
        <v>96</v>
      </c>
      <c r="E1" s="378"/>
      <c r="F1" s="378"/>
      <c r="G1" s="378"/>
      <c r="H1" s="378"/>
      <c r="I1" s="378"/>
      <c r="J1" s="320"/>
      <c r="K1" s="295"/>
      <c r="L1" s="296"/>
    </row>
    <row r="2" spans="1:12" ht="45" customHeight="1" thickBot="1" x14ac:dyDescent="0.4">
      <c r="A2" s="1">
        <v>0</v>
      </c>
      <c r="D2" s="379"/>
      <c r="E2" s="379"/>
      <c r="F2" s="379"/>
      <c r="G2" s="379"/>
      <c r="H2" s="379"/>
      <c r="I2" s="379"/>
      <c r="J2" s="321"/>
      <c r="L2" s="297"/>
    </row>
    <row r="3" spans="1:12" x14ac:dyDescent="0.35">
      <c r="A3" s="298"/>
      <c r="L3" s="297"/>
    </row>
    <row r="4" spans="1:12" ht="15" thickBot="1" x14ac:dyDescent="0.4">
      <c r="A4" s="298"/>
      <c r="L4" s="297"/>
    </row>
    <row r="5" spans="1:12" x14ac:dyDescent="0.35">
      <c r="A5" s="380" t="s">
        <v>90</v>
      </c>
      <c r="B5" s="384" t="s">
        <v>84</v>
      </c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1:12" x14ac:dyDescent="0.35">
      <c r="A6" s="381"/>
      <c r="B6" s="322"/>
      <c r="C6" s="300" t="s">
        <v>38</v>
      </c>
      <c r="D6" s="300" t="s">
        <v>39</v>
      </c>
      <c r="E6" s="300" t="s">
        <v>40</v>
      </c>
      <c r="F6" s="300" t="s">
        <v>41</v>
      </c>
      <c r="G6" s="300" t="s">
        <v>42</v>
      </c>
      <c r="H6" s="300" t="s">
        <v>43</v>
      </c>
      <c r="I6" s="300" t="s">
        <v>44</v>
      </c>
      <c r="J6" s="300" t="s">
        <v>45</v>
      </c>
      <c r="K6" s="300" t="s">
        <v>46</v>
      </c>
      <c r="L6" s="302" t="s">
        <v>47</v>
      </c>
    </row>
    <row r="7" spans="1:12" x14ac:dyDescent="0.35">
      <c r="A7" s="381"/>
      <c r="B7" s="323" t="s">
        <v>107</v>
      </c>
      <c r="C7" s="340">
        <f>100*A2/15*0.9</f>
        <v>0</v>
      </c>
      <c r="D7" s="340">
        <f>100*A2/15*0.8</f>
        <v>0</v>
      </c>
      <c r="E7" s="340">
        <f>100*A2/15*0.7</f>
        <v>0</v>
      </c>
      <c r="F7" s="340">
        <f>100*A2/15*0.6</f>
        <v>0</v>
      </c>
      <c r="G7" s="340">
        <f>100*A2/15*0.5</f>
        <v>0</v>
      </c>
      <c r="H7" s="340">
        <f>100*A2/15*0.4</f>
        <v>0</v>
      </c>
      <c r="I7" s="340">
        <f>100*A2/15*0.3</f>
        <v>0</v>
      </c>
      <c r="J7" s="340">
        <f>100*A2/15*0.2</f>
        <v>0</v>
      </c>
      <c r="K7" s="340">
        <f>100*A2/15*0.1</f>
        <v>0</v>
      </c>
      <c r="L7" s="341">
        <f>100*A2/15*0</f>
        <v>0</v>
      </c>
    </row>
    <row r="8" spans="1:12" x14ac:dyDescent="0.35">
      <c r="A8" s="381"/>
      <c r="B8" s="342" t="s">
        <v>105</v>
      </c>
      <c r="C8" s="307">
        <f>100*A2/25*0.1</f>
        <v>0</v>
      </c>
      <c r="D8" s="307">
        <f>100*A2/25*0.2</f>
        <v>0</v>
      </c>
      <c r="E8" s="307">
        <f>100*A2/25*0.3</f>
        <v>0</v>
      </c>
      <c r="F8" s="307">
        <f>100*A2/25*0.4</f>
        <v>0</v>
      </c>
      <c r="G8" s="307">
        <f>100*A2/25*0.5</f>
        <v>0</v>
      </c>
      <c r="H8" s="307">
        <f>100*A2/25*0.6</f>
        <v>0</v>
      </c>
      <c r="I8" s="307">
        <f>100*A2/25*0.7</f>
        <v>0</v>
      </c>
      <c r="J8" s="307">
        <f>100*A2/25*0.8</f>
        <v>0</v>
      </c>
      <c r="K8" s="307">
        <f>100*A2/25*0.9</f>
        <v>0</v>
      </c>
      <c r="L8" s="308">
        <f>100*A2/25*1</f>
        <v>0</v>
      </c>
    </row>
    <row r="9" spans="1:12" x14ac:dyDescent="0.35">
      <c r="A9" s="381"/>
      <c r="B9" s="334" t="s">
        <v>109</v>
      </c>
      <c r="C9" s="330"/>
      <c r="D9" s="330">
        <f t="shared" ref="D9:L9" si="0">(D7*480/100)+(D8*385/100)</f>
        <v>0</v>
      </c>
      <c r="E9" s="330">
        <f t="shared" si="0"/>
        <v>0</v>
      </c>
      <c r="F9" s="330">
        <f t="shared" si="0"/>
        <v>0</v>
      </c>
      <c r="G9" s="330">
        <f t="shared" si="0"/>
        <v>0</v>
      </c>
      <c r="H9" s="330">
        <f t="shared" si="0"/>
        <v>0</v>
      </c>
      <c r="I9" s="330">
        <f t="shared" si="0"/>
        <v>0</v>
      </c>
      <c r="J9" s="330">
        <f t="shared" si="0"/>
        <v>0</v>
      </c>
      <c r="K9" s="330">
        <f t="shared" si="0"/>
        <v>0</v>
      </c>
      <c r="L9" s="330">
        <f t="shared" si="0"/>
        <v>0</v>
      </c>
    </row>
    <row r="10" spans="1:12" ht="15" thickBot="1" x14ac:dyDescent="0.4">
      <c r="A10" s="394"/>
      <c r="B10" s="335" t="s">
        <v>48</v>
      </c>
      <c r="C10" s="332">
        <f t="shared" ref="C10:L10" si="1">C8*5.3/100</f>
        <v>0</v>
      </c>
      <c r="D10" s="332">
        <f t="shared" si="1"/>
        <v>0</v>
      </c>
      <c r="E10" s="332">
        <f t="shared" si="1"/>
        <v>0</v>
      </c>
      <c r="F10" s="332">
        <f t="shared" si="1"/>
        <v>0</v>
      </c>
      <c r="G10" s="332">
        <f t="shared" si="1"/>
        <v>0</v>
      </c>
      <c r="H10" s="332">
        <f t="shared" si="1"/>
        <v>0</v>
      </c>
      <c r="I10" s="332">
        <f t="shared" si="1"/>
        <v>0</v>
      </c>
      <c r="J10" s="332">
        <f t="shared" si="1"/>
        <v>0</v>
      </c>
      <c r="K10" s="332">
        <f t="shared" si="1"/>
        <v>0</v>
      </c>
      <c r="L10" s="333">
        <f t="shared" si="1"/>
        <v>0</v>
      </c>
    </row>
    <row r="11" spans="1:12" x14ac:dyDescent="0.35">
      <c r="A11" s="298"/>
      <c r="B11" s="315"/>
      <c r="C11" s="316"/>
      <c r="D11" s="316"/>
      <c r="E11" s="316"/>
      <c r="F11" s="316"/>
      <c r="L11" s="297"/>
    </row>
    <row r="12" spans="1:12" ht="15" thickBot="1" x14ac:dyDescent="0.4">
      <c r="A12" s="298"/>
      <c r="L12" s="297"/>
    </row>
    <row r="13" spans="1:12" x14ac:dyDescent="0.35">
      <c r="A13" s="386" t="s">
        <v>91</v>
      </c>
      <c r="B13" s="384" t="s">
        <v>49</v>
      </c>
      <c r="C13" s="384"/>
      <c r="D13" s="384"/>
      <c r="E13" s="384"/>
      <c r="F13" s="384"/>
      <c r="G13" s="384"/>
      <c r="H13" s="384"/>
      <c r="I13" s="385"/>
      <c r="L13" s="297"/>
    </row>
    <row r="14" spans="1:12" x14ac:dyDescent="0.35">
      <c r="A14" s="387"/>
      <c r="B14" s="322"/>
      <c r="C14" s="300" t="s">
        <v>38</v>
      </c>
      <c r="D14" s="300" t="s">
        <v>39</v>
      </c>
      <c r="E14" s="300" t="s">
        <v>40</v>
      </c>
      <c r="F14" s="300" t="s">
        <v>41</v>
      </c>
      <c r="G14" s="300" t="s">
        <v>42</v>
      </c>
      <c r="H14" s="300" t="s">
        <v>43</v>
      </c>
      <c r="I14" s="302" t="s">
        <v>44</v>
      </c>
      <c r="L14" s="297"/>
    </row>
    <row r="15" spans="1:12" x14ac:dyDescent="0.35">
      <c r="A15" s="387"/>
      <c r="B15" s="323" t="s">
        <v>107</v>
      </c>
      <c r="C15" s="324">
        <f>100*A2/15*0.857</f>
        <v>0</v>
      </c>
      <c r="D15" s="324">
        <f>100*A2/15*0.714</f>
        <v>0</v>
      </c>
      <c r="E15" s="324">
        <f>100*A2/15*0.571</f>
        <v>0</v>
      </c>
      <c r="F15" s="324">
        <f>100*A2/15*0.429</f>
        <v>0</v>
      </c>
      <c r="G15" s="324">
        <f>100*A2/15*0.286</f>
        <v>0</v>
      </c>
      <c r="H15" s="324">
        <f>100*A2/15*0.143</f>
        <v>0</v>
      </c>
      <c r="I15" s="325">
        <f>100*A2/15*0</f>
        <v>0</v>
      </c>
      <c r="L15" s="297"/>
    </row>
    <row r="16" spans="1:12" x14ac:dyDescent="0.35">
      <c r="A16" s="387"/>
      <c r="B16" s="342" t="s">
        <v>105</v>
      </c>
      <c r="C16" s="307">
        <f>100*A2/25*0.143</f>
        <v>0</v>
      </c>
      <c r="D16" s="307">
        <f>100*A2/25*0.286</f>
        <v>0</v>
      </c>
      <c r="E16" s="307">
        <f>100*A2/25*0.429</f>
        <v>0</v>
      </c>
      <c r="F16" s="307">
        <f>100*A2/25*0.571</f>
        <v>0</v>
      </c>
      <c r="G16" s="307">
        <f>100*A2/25*0.714</f>
        <v>0</v>
      </c>
      <c r="H16" s="307">
        <f>100*A2/25*0.857</f>
        <v>0</v>
      </c>
      <c r="I16" s="308">
        <f>100*A2/25*1</f>
        <v>0</v>
      </c>
      <c r="L16" s="297"/>
    </row>
    <row r="17" spans="1:12" x14ac:dyDescent="0.35">
      <c r="A17" s="387"/>
      <c r="B17" s="334" t="s">
        <v>109</v>
      </c>
      <c r="C17" s="330">
        <f>(C15*480/100)+(C16*385/100)</f>
        <v>0</v>
      </c>
      <c r="D17" s="330">
        <f t="shared" ref="D17:I17" si="2">(D15*480/100)+(D16*385/100)</f>
        <v>0</v>
      </c>
      <c r="E17" s="330">
        <f t="shared" si="2"/>
        <v>0</v>
      </c>
      <c r="F17" s="330">
        <f t="shared" si="2"/>
        <v>0</v>
      </c>
      <c r="G17" s="330">
        <f t="shared" si="2"/>
        <v>0</v>
      </c>
      <c r="H17" s="330">
        <f t="shared" si="2"/>
        <v>0</v>
      </c>
      <c r="I17" s="330">
        <f t="shared" si="2"/>
        <v>0</v>
      </c>
      <c r="L17" s="297"/>
    </row>
    <row r="18" spans="1:12" ht="15" thickBot="1" x14ac:dyDescent="0.4">
      <c r="A18" s="393"/>
      <c r="B18" s="335" t="s">
        <v>48</v>
      </c>
      <c r="C18" s="336">
        <f t="shared" ref="C18:I18" si="3">C16*11.2/100</f>
        <v>0</v>
      </c>
      <c r="D18" s="336">
        <f t="shared" si="3"/>
        <v>0</v>
      </c>
      <c r="E18" s="336">
        <f t="shared" si="3"/>
        <v>0</v>
      </c>
      <c r="F18" s="336">
        <f t="shared" si="3"/>
        <v>0</v>
      </c>
      <c r="G18" s="336">
        <f t="shared" si="3"/>
        <v>0</v>
      </c>
      <c r="H18" s="336">
        <f t="shared" si="3"/>
        <v>0</v>
      </c>
      <c r="I18" s="336">
        <f t="shared" si="3"/>
        <v>0</v>
      </c>
      <c r="J18" s="315" t="s">
        <v>1</v>
      </c>
      <c r="L18" s="297"/>
    </row>
    <row r="19" spans="1:12" x14ac:dyDescent="0.35">
      <c r="A19" s="298"/>
      <c r="B19" s="315"/>
      <c r="C19" s="318"/>
      <c r="D19" s="318"/>
      <c r="E19" s="318"/>
      <c r="F19" s="318"/>
      <c r="G19" s="318"/>
      <c r="H19" s="318"/>
      <c r="I19" s="318"/>
      <c r="L19" s="297"/>
    </row>
    <row r="20" spans="1:12" ht="15" thickBot="1" x14ac:dyDescent="0.4">
      <c r="A20" s="298"/>
      <c r="L20" s="297"/>
    </row>
    <row r="21" spans="1:12" x14ac:dyDescent="0.35">
      <c r="A21" s="389" t="s">
        <v>86</v>
      </c>
      <c r="B21" s="384" t="s">
        <v>50</v>
      </c>
      <c r="C21" s="384"/>
      <c r="D21" s="384"/>
      <c r="E21" s="384"/>
      <c r="F21" s="385"/>
      <c r="L21" s="297"/>
    </row>
    <row r="22" spans="1:12" x14ac:dyDescent="0.35">
      <c r="A22" s="390"/>
      <c r="B22" s="322"/>
      <c r="C22" s="300" t="s">
        <v>38</v>
      </c>
      <c r="D22" s="300" t="s">
        <v>39</v>
      </c>
      <c r="E22" s="300" t="s">
        <v>40</v>
      </c>
      <c r="F22" s="302" t="s">
        <v>41</v>
      </c>
      <c r="L22" s="297"/>
    </row>
    <row r="23" spans="1:12" x14ac:dyDescent="0.35">
      <c r="A23" s="390"/>
      <c r="B23" s="323" t="s">
        <v>107</v>
      </c>
      <c r="C23" s="324">
        <f>100*A2/15*0.75</f>
        <v>0</v>
      </c>
      <c r="D23" s="324">
        <f>100*A2/15*0.5</f>
        <v>0</v>
      </c>
      <c r="E23" s="324">
        <f>100*A2/15*0.25</f>
        <v>0</v>
      </c>
      <c r="F23" s="325">
        <f>100/15*A2*0</f>
        <v>0</v>
      </c>
      <c r="L23" s="297"/>
    </row>
    <row r="24" spans="1:12" x14ac:dyDescent="0.35">
      <c r="A24" s="390"/>
      <c r="B24" s="342" t="s">
        <v>105</v>
      </c>
      <c r="C24" s="307">
        <f>100*A2/25*0.25</f>
        <v>0</v>
      </c>
      <c r="D24" s="307">
        <f>100*A2/25*0.5</f>
        <v>0</v>
      </c>
      <c r="E24" s="307">
        <f>100*A2/25*0.75</f>
        <v>0</v>
      </c>
      <c r="F24" s="308">
        <f>100*A2/25*1</f>
        <v>0</v>
      </c>
      <c r="L24" s="297"/>
    </row>
    <row r="25" spans="1:12" x14ac:dyDescent="0.35">
      <c r="A25" s="390"/>
      <c r="B25" s="334" t="s">
        <v>109</v>
      </c>
      <c r="C25" s="330">
        <f>(C23*480/100)+(C24*385/100)</f>
        <v>0</v>
      </c>
      <c r="D25" s="330">
        <f t="shared" ref="D25:F25" si="4">(D23*480/100)+(D24*385/100)</f>
        <v>0</v>
      </c>
      <c r="E25" s="330">
        <f t="shared" si="4"/>
        <v>0</v>
      </c>
      <c r="F25" s="330">
        <f t="shared" si="4"/>
        <v>0</v>
      </c>
      <c r="L25" s="297"/>
    </row>
    <row r="26" spans="1:12" ht="15" thickBot="1" x14ac:dyDescent="0.4">
      <c r="A26" s="391"/>
      <c r="B26" s="335" t="s">
        <v>48</v>
      </c>
      <c r="C26" s="336">
        <f>C24*11.2/100</f>
        <v>0</v>
      </c>
      <c r="D26" s="336">
        <f>D24*11.2/100</f>
        <v>0</v>
      </c>
      <c r="E26" s="336">
        <f>E24*11.2/100</f>
        <v>0</v>
      </c>
      <c r="F26" s="336">
        <f>F24*11.2/100</f>
        <v>0</v>
      </c>
      <c r="L26" s="297"/>
    </row>
    <row r="27" spans="1:12" x14ac:dyDescent="0.35">
      <c r="A27" s="298"/>
      <c r="L27" s="297"/>
    </row>
    <row r="28" spans="1:12" ht="15" thickBot="1" x14ac:dyDescent="0.4">
      <c r="A28" s="319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30" spans="1:12" x14ac:dyDescent="0.35">
      <c r="A30" s="28" t="s">
        <v>118</v>
      </c>
    </row>
    <row r="31" spans="1:12" ht="8.25" customHeight="1" x14ac:dyDescent="0.35">
      <c r="B31" s="392"/>
      <c r="C31" s="392"/>
      <c r="D31" s="392"/>
      <c r="E31" s="392"/>
      <c r="F31" s="392"/>
      <c r="G31" s="392"/>
      <c r="H31" s="392"/>
    </row>
    <row r="32" spans="1:12" x14ac:dyDescent="0.35">
      <c r="A32" s="161" t="s">
        <v>114</v>
      </c>
    </row>
    <row r="33" spans="1:1" x14ac:dyDescent="0.35">
      <c r="A33" s="339" t="s">
        <v>110</v>
      </c>
    </row>
  </sheetData>
  <sheetProtection algorithmName="SHA-512" hashValue="OC/yan+zGZiYEwEChwyjqqXjGoABRs2sjOA4mcqm0vZhtu/UJxabzRml4u2kkf55789aSXA1BFk8STAQzw/FUA==" saltValue="sTncmnTdxs5t76QhOqJU0w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E8CA-F4D4-489D-88FB-99C87B7F55C9}">
  <sheetPr>
    <tabColor theme="8" tint="-0.499984740745262"/>
  </sheetPr>
  <dimension ref="A1:L33"/>
  <sheetViews>
    <sheetView showGridLines="0" zoomScale="80" zoomScaleNormal="80" workbookViewId="0">
      <selection activeCell="D9" sqref="D9"/>
    </sheetView>
  </sheetViews>
  <sheetFormatPr defaultColWidth="9.1796875" defaultRowHeight="14.5" x14ac:dyDescent="0.35"/>
  <cols>
    <col min="1" max="1" width="20.26953125" style="28" customWidth="1"/>
    <col min="2" max="2" width="23.90625" style="28" customWidth="1"/>
    <col min="3" max="12" width="9.1796875" style="28"/>
    <col min="13" max="13" width="4.26953125" style="28" customWidth="1"/>
    <col min="14" max="16384" width="9.1796875" style="28"/>
  </cols>
  <sheetData>
    <row r="1" spans="1:12" ht="45" customHeight="1" x14ac:dyDescent="0.35">
      <c r="A1" s="376" t="s">
        <v>87</v>
      </c>
      <c r="B1" s="377"/>
      <c r="C1" s="295"/>
      <c r="D1" s="378" t="s">
        <v>98</v>
      </c>
      <c r="E1" s="378"/>
      <c r="F1" s="378"/>
      <c r="G1" s="378"/>
      <c r="H1" s="378"/>
      <c r="I1" s="378"/>
      <c r="J1" s="378"/>
      <c r="K1" s="295"/>
      <c r="L1" s="296"/>
    </row>
    <row r="2" spans="1:12" ht="45" customHeight="1" thickBot="1" x14ac:dyDescent="0.4">
      <c r="A2" s="1">
        <v>0</v>
      </c>
      <c r="D2" s="379"/>
      <c r="E2" s="379"/>
      <c r="F2" s="379"/>
      <c r="G2" s="379"/>
      <c r="H2" s="379"/>
      <c r="I2" s="379"/>
      <c r="J2" s="379"/>
      <c r="L2" s="297"/>
    </row>
    <row r="3" spans="1:12" x14ac:dyDescent="0.35">
      <c r="A3" s="343"/>
      <c r="L3" s="297"/>
    </row>
    <row r="4" spans="1:12" ht="15" thickBot="1" x14ac:dyDescent="0.4">
      <c r="A4" s="298"/>
      <c r="L4" s="297"/>
    </row>
    <row r="5" spans="1:12" x14ac:dyDescent="0.35">
      <c r="A5" s="380" t="s">
        <v>90</v>
      </c>
      <c r="B5" s="384" t="s">
        <v>84</v>
      </c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1:12" x14ac:dyDescent="0.35">
      <c r="A6" s="381"/>
      <c r="B6" s="322"/>
      <c r="C6" s="300" t="s">
        <v>38</v>
      </c>
      <c r="D6" s="300" t="s">
        <v>39</v>
      </c>
      <c r="E6" s="300" t="s">
        <v>40</v>
      </c>
      <c r="F6" s="300" t="s">
        <v>41</v>
      </c>
      <c r="G6" s="300" t="s">
        <v>42</v>
      </c>
      <c r="H6" s="300" t="s">
        <v>43</v>
      </c>
      <c r="I6" s="300" t="s">
        <v>44</v>
      </c>
      <c r="J6" s="300" t="s">
        <v>45</v>
      </c>
      <c r="K6" s="300" t="s">
        <v>46</v>
      </c>
      <c r="L6" s="302" t="s">
        <v>47</v>
      </c>
    </row>
    <row r="7" spans="1:12" x14ac:dyDescent="0.35">
      <c r="A7" s="381"/>
      <c r="B7" s="323" t="s">
        <v>108</v>
      </c>
      <c r="C7" s="340">
        <f>100*A2/15.1*0.9</f>
        <v>0</v>
      </c>
      <c r="D7" s="340">
        <f>100*A2/15.1*0.8</f>
        <v>0</v>
      </c>
      <c r="E7" s="340">
        <f>100*A2/15.1*0.7</f>
        <v>0</v>
      </c>
      <c r="F7" s="340">
        <f>100*A2/15.1*0.6</f>
        <v>0</v>
      </c>
      <c r="G7" s="340">
        <f>100*A2/15.1*0.5</f>
        <v>0</v>
      </c>
      <c r="H7" s="340">
        <f>100*A2/15.1*0.4</f>
        <v>0</v>
      </c>
      <c r="I7" s="340">
        <f>100*A2/15.1*0.3</f>
        <v>0</v>
      </c>
      <c r="J7" s="340">
        <f>100*A2/15.1*0.2</f>
        <v>0</v>
      </c>
      <c r="K7" s="340">
        <f>100*A2/15.1*0.1</f>
        <v>0</v>
      </c>
      <c r="L7" s="341">
        <f>100*A2/15.1*0</f>
        <v>0</v>
      </c>
    </row>
    <row r="8" spans="1:12" x14ac:dyDescent="0.35">
      <c r="A8" s="381"/>
      <c r="B8" s="326" t="s">
        <v>104</v>
      </c>
      <c r="C8" s="344">
        <f>100*A2/13.5*0.1</f>
        <v>0</v>
      </c>
      <c r="D8" s="344">
        <f>100*A2/13.5*0.2</f>
        <v>0</v>
      </c>
      <c r="E8" s="344">
        <f>100*A2/13.5*0.3</f>
        <v>0</v>
      </c>
      <c r="F8" s="344">
        <f>100*A2/13.5*0.4</f>
        <v>0</v>
      </c>
      <c r="G8" s="344">
        <f>100*A2/13.5*0.5</f>
        <v>0</v>
      </c>
      <c r="H8" s="344">
        <f>100*A2/13.5*0.6</f>
        <v>0</v>
      </c>
      <c r="I8" s="344">
        <f>100*A2/13.5*0.7</f>
        <v>0</v>
      </c>
      <c r="J8" s="344">
        <f>100*A2/13.5*0.8</f>
        <v>0</v>
      </c>
      <c r="K8" s="344">
        <f>100*A2/13.5*0.9</f>
        <v>0</v>
      </c>
      <c r="L8" s="345">
        <f>100*A2/13.5*1</f>
        <v>0</v>
      </c>
    </row>
    <row r="9" spans="1:12" x14ac:dyDescent="0.35">
      <c r="A9" s="381"/>
      <c r="B9" s="334" t="s">
        <v>109</v>
      </c>
      <c r="C9" s="330">
        <f>(C7*500/100)+(C8*473/100)</f>
        <v>0</v>
      </c>
      <c r="D9" s="330">
        <f t="shared" ref="D9:L9" si="0">(D7*500/100)+(D8*473/100)</f>
        <v>0</v>
      </c>
      <c r="E9" s="330">
        <f t="shared" si="0"/>
        <v>0</v>
      </c>
      <c r="F9" s="330">
        <f t="shared" si="0"/>
        <v>0</v>
      </c>
      <c r="G9" s="330">
        <f t="shared" si="0"/>
        <v>0</v>
      </c>
      <c r="H9" s="330">
        <f t="shared" si="0"/>
        <v>0</v>
      </c>
      <c r="I9" s="330">
        <f t="shared" si="0"/>
        <v>0</v>
      </c>
      <c r="J9" s="330">
        <f t="shared" si="0"/>
        <v>0</v>
      </c>
      <c r="K9" s="330">
        <f t="shared" si="0"/>
        <v>0</v>
      </c>
      <c r="L9" s="330">
        <f t="shared" si="0"/>
        <v>0</v>
      </c>
    </row>
    <row r="10" spans="1:12" ht="15" thickBot="1" x14ac:dyDescent="0.4">
      <c r="A10" s="394"/>
      <c r="B10" s="335" t="s">
        <v>48</v>
      </c>
      <c r="C10" s="332">
        <f t="shared" ref="C10:L10" si="1">C8*5.3/100</f>
        <v>0</v>
      </c>
      <c r="D10" s="332">
        <f t="shared" si="1"/>
        <v>0</v>
      </c>
      <c r="E10" s="332">
        <f t="shared" si="1"/>
        <v>0</v>
      </c>
      <c r="F10" s="332">
        <f t="shared" si="1"/>
        <v>0</v>
      </c>
      <c r="G10" s="332">
        <f t="shared" si="1"/>
        <v>0</v>
      </c>
      <c r="H10" s="332">
        <f t="shared" si="1"/>
        <v>0</v>
      </c>
      <c r="I10" s="332">
        <f t="shared" si="1"/>
        <v>0</v>
      </c>
      <c r="J10" s="332">
        <f t="shared" si="1"/>
        <v>0</v>
      </c>
      <c r="K10" s="332">
        <f t="shared" si="1"/>
        <v>0</v>
      </c>
      <c r="L10" s="333">
        <f t="shared" si="1"/>
        <v>0</v>
      </c>
    </row>
    <row r="11" spans="1:12" x14ac:dyDescent="0.35">
      <c r="A11" s="298"/>
      <c r="B11" s="315"/>
      <c r="C11" s="316"/>
      <c r="D11" s="316"/>
      <c r="E11" s="316"/>
      <c r="F11" s="316"/>
      <c r="L11" s="297"/>
    </row>
    <row r="12" spans="1:12" ht="15" thickBot="1" x14ac:dyDescent="0.4">
      <c r="A12" s="298"/>
      <c r="L12" s="297"/>
    </row>
    <row r="13" spans="1:12" x14ac:dyDescent="0.35">
      <c r="A13" s="386" t="s">
        <v>91</v>
      </c>
      <c r="B13" s="384" t="s">
        <v>49</v>
      </c>
      <c r="C13" s="384"/>
      <c r="D13" s="384"/>
      <c r="E13" s="384"/>
      <c r="F13" s="384"/>
      <c r="G13" s="384"/>
      <c r="H13" s="384"/>
      <c r="I13" s="385"/>
      <c r="L13" s="297"/>
    </row>
    <row r="14" spans="1:12" x14ac:dyDescent="0.35">
      <c r="A14" s="387"/>
      <c r="B14" s="322"/>
      <c r="C14" s="300" t="s">
        <v>38</v>
      </c>
      <c r="D14" s="300" t="s">
        <v>39</v>
      </c>
      <c r="E14" s="300" t="s">
        <v>40</v>
      </c>
      <c r="F14" s="300" t="s">
        <v>41</v>
      </c>
      <c r="G14" s="300" t="s">
        <v>42</v>
      </c>
      <c r="H14" s="300" t="s">
        <v>43</v>
      </c>
      <c r="I14" s="302" t="s">
        <v>44</v>
      </c>
      <c r="L14" s="297"/>
    </row>
    <row r="15" spans="1:12" x14ac:dyDescent="0.35">
      <c r="A15" s="387"/>
      <c r="B15" s="323" t="s">
        <v>108</v>
      </c>
      <c r="C15" s="324">
        <f>100*A2/16.2*0.857</f>
        <v>0</v>
      </c>
      <c r="D15" s="324">
        <f>100*A2/16.2*0.714</f>
        <v>0</v>
      </c>
      <c r="E15" s="324">
        <f>100*A2/16.2*0.571</f>
        <v>0</v>
      </c>
      <c r="F15" s="324">
        <f>100*A2/16.2*0.429</f>
        <v>0</v>
      </c>
      <c r="G15" s="324">
        <f>100*A2/16.2*0.286</f>
        <v>0</v>
      </c>
      <c r="H15" s="324">
        <f>100*A2/16.2*0.143</f>
        <v>0</v>
      </c>
      <c r="I15" s="325">
        <f>100*A2/16.2*0</f>
        <v>0</v>
      </c>
      <c r="L15" s="297"/>
    </row>
    <row r="16" spans="1:12" x14ac:dyDescent="0.35">
      <c r="A16" s="387"/>
      <c r="B16" s="326" t="s">
        <v>104</v>
      </c>
      <c r="C16" s="327">
        <f>100*A2/13.5*0.143</f>
        <v>0</v>
      </c>
      <c r="D16" s="327">
        <f>100*A2/13.5*0.286</f>
        <v>0</v>
      </c>
      <c r="E16" s="327">
        <f>100*A2/13.5*0.429</f>
        <v>0</v>
      </c>
      <c r="F16" s="327">
        <f>100*A2/13.5*0.571</f>
        <v>0</v>
      </c>
      <c r="G16" s="327">
        <f>100*A2/13.5*0.714</f>
        <v>0</v>
      </c>
      <c r="H16" s="327">
        <f>100*A2/13.5*0.857</f>
        <v>0</v>
      </c>
      <c r="I16" s="328">
        <f>100*A2/13.5*1</f>
        <v>0</v>
      </c>
      <c r="L16" s="297"/>
    </row>
    <row r="17" spans="1:12" x14ac:dyDescent="0.35">
      <c r="A17" s="387"/>
      <c r="B17" s="334" t="s">
        <v>109</v>
      </c>
      <c r="C17" s="330">
        <f>(C15*500/100)+(C16*473/100)</f>
        <v>0</v>
      </c>
      <c r="D17" s="330">
        <f t="shared" ref="D17:I17" si="2">(D15*500/100)+(D16*473/100)</f>
        <v>0</v>
      </c>
      <c r="E17" s="330">
        <f t="shared" si="2"/>
        <v>0</v>
      </c>
      <c r="F17" s="330">
        <f t="shared" si="2"/>
        <v>0</v>
      </c>
      <c r="G17" s="330">
        <f t="shared" si="2"/>
        <v>0</v>
      </c>
      <c r="H17" s="330">
        <f t="shared" si="2"/>
        <v>0</v>
      </c>
      <c r="I17" s="330">
        <f t="shared" si="2"/>
        <v>0</v>
      </c>
      <c r="L17" s="297"/>
    </row>
    <row r="18" spans="1:12" ht="15" thickBot="1" x14ac:dyDescent="0.4">
      <c r="A18" s="393"/>
      <c r="B18" s="335" t="s">
        <v>48</v>
      </c>
      <c r="C18" s="336">
        <f t="shared" ref="C18:I18" si="3">C16*5.3/100</f>
        <v>0</v>
      </c>
      <c r="D18" s="336">
        <f t="shared" si="3"/>
        <v>0</v>
      </c>
      <c r="E18" s="336">
        <f t="shared" si="3"/>
        <v>0</v>
      </c>
      <c r="F18" s="336">
        <f t="shared" si="3"/>
        <v>0</v>
      </c>
      <c r="G18" s="336">
        <f t="shared" si="3"/>
        <v>0</v>
      </c>
      <c r="H18" s="336">
        <f t="shared" si="3"/>
        <v>0</v>
      </c>
      <c r="I18" s="337">
        <f t="shared" si="3"/>
        <v>0</v>
      </c>
      <c r="J18" s="315" t="s">
        <v>1</v>
      </c>
      <c r="L18" s="297"/>
    </row>
    <row r="19" spans="1:12" x14ac:dyDescent="0.35">
      <c r="A19" s="298"/>
      <c r="B19" s="315"/>
      <c r="C19" s="318"/>
      <c r="D19" s="318"/>
      <c r="E19" s="318"/>
      <c r="F19" s="318"/>
      <c r="G19" s="318"/>
      <c r="H19" s="318"/>
      <c r="I19" s="318"/>
      <c r="L19" s="297"/>
    </row>
    <row r="20" spans="1:12" ht="15" thickBot="1" x14ac:dyDescent="0.4">
      <c r="A20" s="298"/>
      <c r="L20" s="297"/>
    </row>
    <row r="21" spans="1:12" x14ac:dyDescent="0.35">
      <c r="A21" s="389" t="s">
        <v>86</v>
      </c>
      <c r="B21" s="384" t="s">
        <v>50</v>
      </c>
      <c r="C21" s="384"/>
      <c r="D21" s="384"/>
      <c r="E21" s="384"/>
      <c r="F21" s="385"/>
      <c r="L21" s="297"/>
    </row>
    <row r="22" spans="1:12" x14ac:dyDescent="0.35">
      <c r="A22" s="390"/>
      <c r="B22" s="322"/>
      <c r="C22" s="300" t="s">
        <v>38</v>
      </c>
      <c r="D22" s="300" t="s">
        <v>39</v>
      </c>
      <c r="E22" s="300" t="s">
        <v>40</v>
      </c>
      <c r="F22" s="302" t="s">
        <v>41</v>
      </c>
      <c r="L22" s="297"/>
    </row>
    <row r="23" spans="1:12" x14ac:dyDescent="0.35">
      <c r="A23" s="390"/>
      <c r="B23" s="323" t="s">
        <v>108</v>
      </c>
      <c r="C23" s="340">
        <f>100*A2/15.1*0.75</f>
        <v>0</v>
      </c>
      <c r="D23" s="340">
        <f>100*A2/15.1*0.5</f>
        <v>0</v>
      </c>
      <c r="E23" s="340">
        <f>100*A2/15.1*0.25</f>
        <v>0</v>
      </c>
      <c r="F23" s="341">
        <f>100/15.1*A2*0</f>
        <v>0</v>
      </c>
      <c r="L23" s="297"/>
    </row>
    <row r="24" spans="1:12" x14ac:dyDescent="0.35">
      <c r="A24" s="390"/>
      <c r="B24" s="326" t="s">
        <v>104</v>
      </c>
      <c r="C24" s="327">
        <f>100*A2/13.5*0.25</f>
        <v>0</v>
      </c>
      <c r="D24" s="327">
        <f>100*A2/13.5*0.5</f>
        <v>0</v>
      </c>
      <c r="E24" s="327">
        <f>100*A2/13.5*0.75</f>
        <v>0</v>
      </c>
      <c r="F24" s="328">
        <f>100*A2/13.5*1</f>
        <v>0</v>
      </c>
      <c r="L24" s="297"/>
    </row>
    <row r="25" spans="1:12" x14ac:dyDescent="0.35">
      <c r="A25" s="390"/>
      <c r="B25" s="334" t="s">
        <v>109</v>
      </c>
      <c r="C25" s="330">
        <f>(C23*500/100)+(C24*473/100)</f>
        <v>0</v>
      </c>
      <c r="D25" s="330">
        <f t="shared" ref="D25:F25" si="4">(D23*500/100)+(D24*473/100)</f>
        <v>0</v>
      </c>
      <c r="E25" s="330">
        <f t="shared" si="4"/>
        <v>0</v>
      </c>
      <c r="F25" s="330">
        <f t="shared" si="4"/>
        <v>0</v>
      </c>
      <c r="L25" s="297"/>
    </row>
    <row r="26" spans="1:12" ht="15" thickBot="1" x14ac:dyDescent="0.4">
      <c r="A26" s="391"/>
      <c r="B26" s="335" t="s">
        <v>48</v>
      </c>
      <c r="C26" s="336">
        <f>C24*5.3/100</f>
        <v>0</v>
      </c>
      <c r="D26" s="336">
        <f>D24*5.3/100</f>
        <v>0</v>
      </c>
      <c r="E26" s="336">
        <f>E24*5.3/100</f>
        <v>0</v>
      </c>
      <c r="F26" s="337">
        <f>F24*5.3/100</f>
        <v>0</v>
      </c>
      <c r="L26" s="297"/>
    </row>
    <row r="27" spans="1:12" x14ac:dyDescent="0.35">
      <c r="A27" s="298"/>
      <c r="L27" s="297"/>
    </row>
    <row r="28" spans="1:12" ht="15" thickBot="1" x14ac:dyDescent="0.4">
      <c r="A28" s="319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30" spans="1:12" x14ac:dyDescent="0.35">
      <c r="A30" s="346" t="s">
        <v>120</v>
      </c>
    </row>
    <row r="31" spans="1:12" x14ac:dyDescent="0.35">
      <c r="B31" s="392"/>
      <c r="C31" s="392"/>
      <c r="D31" s="392"/>
      <c r="E31" s="392"/>
      <c r="F31" s="392"/>
      <c r="G31" s="392"/>
      <c r="H31" s="392"/>
    </row>
    <row r="32" spans="1:12" x14ac:dyDescent="0.35">
      <c r="A32" s="161" t="s">
        <v>119</v>
      </c>
    </row>
    <row r="33" spans="1:1" x14ac:dyDescent="0.35">
      <c r="A33" s="339" t="s">
        <v>110</v>
      </c>
    </row>
  </sheetData>
  <sheetProtection algorithmName="SHA-512" hashValue="xeWzlM/liE+PZeHXJcLRYl7GsmsBbBKp/bPKpN7f4Fhlc4W0IqLVe3f8g3/oCXlZz70gl0GMNZEJBHbNsvZiGg==" saltValue="xc68ZRXCAKRcFSDeHnQApw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3936-7B93-4574-A2E7-7DB575CE7D65}">
  <sheetPr>
    <tabColor theme="8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796875" defaultRowHeight="14.5" x14ac:dyDescent="0.35"/>
  <cols>
    <col min="1" max="1" width="20.26953125" style="28" customWidth="1"/>
    <col min="2" max="2" width="21.453125" style="28" customWidth="1"/>
    <col min="3" max="12" width="9.1796875" style="28"/>
    <col min="13" max="13" width="4.26953125" style="28" customWidth="1"/>
    <col min="14" max="16384" width="9.1796875" style="28"/>
  </cols>
  <sheetData>
    <row r="1" spans="1:12" ht="45" customHeight="1" x14ac:dyDescent="0.35">
      <c r="A1" s="376" t="s">
        <v>87</v>
      </c>
      <c r="B1" s="377"/>
      <c r="C1" s="295"/>
      <c r="D1" s="378" t="s">
        <v>97</v>
      </c>
      <c r="E1" s="378"/>
      <c r="F1" s="378"/>
      <c r="G1" s="378"/>
      <c r="H1" s="378"/>
      <c r="I1" s="378"/>
      <c r="J1" s="378"/>
      <c r="K1" s="295"/>
      <c r="L1" s="296"/>
    </row>
    <row r="2" spans="1:12" ht="45" customHeight="1" thickBot="1" x14ac:dyDescent="0.4">
      <c r="A2" s="1">
        <v>0</v>
      </c>
      <c r="D2" s="379"/>
      <c r="E2" s="379"/>
      <c r="F2" s="379"/>
      <c r="G2" s="379"/>
      <c r="H2" s="379"/>
      <c r="I2" s="379"/>
      <c r="J2" s="379"/>
      <c r="L2" s="297"/>
    </row>
    <row r="3" spans="1:12" x14ac:dyDescent="0.35">
      <c r="A3" s="298"/>
      <c r="L3" s="297"/>
    </row>
    <row r="4" spans="1:12" ht="15" thickBot="1" x14ac:dyDescent="0.4">
      <c r="A4" s="298"/>
      <c r="L4" s="297"/>
    </row>
    <row r="5" spans="1:12" x14ac:dyDescent="0.35">
      <c r="A5" s="380" t="s">
        <v>90</v>
      </c>
      <c r="B5" s="384" t="s">
        <v>84</v>
      </c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1:12" x14ac:dyDescent="0.35">
      <c r="A6" s="381"/>
      <c r="B6" s="322"/>
      <c r="C6" s="300" t="s">
        <v>38</v>
      </c>
      <c r="D6" s="300" t="s">
        <v>39</v>
      </c>
      <c r="E6" s="300" t="s">
        <v>40</v>
      </c>
      <c r="F6" s="300" t="s">
        <v>41</v>
      </c>
      <c r="G6" s="300" t="s">
        <v>42</v>
      </c>
      <c r="H6" s="300" t="s">
        <v>43</v>
      </c>
      <c r="I6" s="300" t="s">
        <v>44</v>
      </c>
      <c r="J6" s="300" t="s">
        <v>45</v>
      </c>
      <c r="K6" s="300" t="s">
        <v>46</v>
      </c>
      <c r="L6" s="302" t="s">
        <v>47</v>
      </c>
    </row>
    <row r="7" spans="1:12" x14ac:dyDescent="0.35">
      <c r="A7" s="381"/>
      <c r="B7" s="323" t="s">
        <v>108</v>
      </c>
      <c r="C7" s="340">
        <f>100*A2/15.1*0.9</f>
        <v>0</v>
      </c>
      <c r="D7" s="340">
        <f>100*A2/15.1*0.8</f>
        <v>0</v>
      </c>
      <c r="E7" s="340">
        <f>100*A2/15.1*0.7</f>
        <v>0</v>
      </c>
      <c r="F7" s="340">
        <f>100*A2/15.1*0.6</f>
        <v>0</v>
      </c>
      <c r="G7" s="340">
        <f>100*A2/15.1*0.5</f>
        <v>0</v>
      </c>
      <c r="H7" s="340">
        <f>100*A2/15.1*0.4</f>
        <v>0</v>
      </c>
      <c r="I7" s="340">
        <f>100*A2/15.1*0.3</f>
        <v>0</v>
      </c>
      <c r="J7" s="340">
        <f>100*A2/15.1*0.2</f>
        <v>0</v>
      </c>
      <c r="K7" s="340">
        <f>100*A2/15.1*0.1</f>
        <v>0</v>
      </c>
      <c r="L7" s="341">
        <f>100*A2/15.1*0</f>
        <v>0</v>
      </c>
    </row>
    <row r="8" spans="1:12" x14ac:dyDescent="0.35">
      <c r="A8" s="381"/>
      <c r="B8" s="342" t="s">
        <v>105</v>
      </c>
      <c r="C8" s="307">
        <f>100*A2/25*0.1</f>
        <v>0</v>
      </c>
      <c r="D8" s="307">
        <f>100*A2/25*0.2</f>
        <v>0</v>
      </c>
      <c r="E8" s="307">
        <f>100*A2/25*0.3</f>
        <v>0</v>
      </c>
      <c r="F8" s="307">
        <f>100*A2/25*0.4</f>
        <v>0</v>
      </c>
      <c r="G8" s="307">
        <f>100*A2/25*0.5</f>
        <v>0</v>
      </c>
      <c r="H8" s="307">
        <f>100*A2/25*0.6</f>
        <v>0</v>
      </c>
      <c r="I8" s="307">
        <f>100*A2/25*0.7</f>
        <v>0</v>
      </c>
      <c r="J8" s="307">
        <f>100*A2/25*0.8</f>
        <v>0</v>
      </c>
      <c r="K8" s="307">
        <f>100*A2/25*0.9</f>
        <v>0</v>
      </c>
      <c r="L8" s="308">
        <f>100*A2/25*1</f>
        <v>0</v>
      </c>
    </row>
    <row r="9" spans="1:12" x14ac:dyDescent="0.35">
      <c r="A9" s="381"/>
      <c r="B9" s="334" t="s">
        <v>109</v>
      </c>
      <c r="C9" s="330">
        <f>(C7*500/100)+(C8*385/100)</f>
        <v>0</v>
      </c>
      <c r="D9" s="330">
        <f t="shared" ref="D9:L9" si="0">(D7*500/100)+(D8*385/100)</f>
        <v>0</v>
      </c>
      <c r="E9" s="330">
        <f t="shared" si="0"/>
        <v>0</v>
      </c>
      <c r="F9" s="330">
        <f t="shared" si="0"/>
        <v>0</v>
      </c>
      <c r="G9" s="330">
        <f t="shared" si="0"/>
        <v>0</v>
      </c>
      <c r="H9" s="330">
        <f t="shared" si="0"/>
        <v>0</v>
      </c>
      <c r="I9" s="330">
        <f t="shared" si="0"/>
        <v>0</v>
      </c>
      <c r="J9" s="330">
        <f t="shared" si="0"/>
        <v>0</v>
      </c>
      <c r="K9" s="330">
        <f t="shared" si="0"/>
        <v>0</v>
      </c>
      <c r="L9" s="330">
        <f t="shared" si="0"/>
        <v>0</v>
      </c>
    </row>
    <row r="10" spans="1:12" ht="15" thickBot="1" x14ac:dyDescent="0.4">
      <c r="A10" s="394"/>
      <c r="B10" s="335" t="s">
        <v>48</v>
      </c>
      <c r="C10" s="336">
        <f t="shared" ref="C10:L10" si="1">C8*11.2/100</f>
        <v>0</v>
      </c>
      <c r="D10" s="336">
        <f t="shared" si="1"/>
        <v>0</v>
      </c>
      <c r="E10" s="336">
        <f t="shared" si="1"/>
        <v>0</v>
      </c>
      <c r="F10" s="336">
        <f t="shared" si="1"/>
        <v>0</v>
      </c>
      <c r="G10" s="336">
        <f t="shared" si="1"/>
        <v>0</v>
      </c>
      <c r="H10" s="336">
        <f t="shared" si="1"/>
        <v>0</v>
      </c>
      <c r="I10" s="336">
        <f t="shared" si="1"/>
        <v>0</v>
      </c>
      <c r="J10" s="336">
        <f t="shared" si="1"/>
        <v>0</v>
      </c>
      <c r="K10" s="336">
        <f t="shared" si="1"/>
        <v>0</v>
      </c>
      <c r="L10" s="336">
        <f t="shared" si="1"/>
        <v>0</v>
      </c>
    </row>
    <row r="11" spans="1:12" x14ac:dyDescent="0.35">
      <c r="A11" s="298"/>
      <c r="B11" s="315"/>
      <c r="C11" s="316"/>
      <c r="D11" s="316"/>
      <c r="E11" s="316"/>
      <c r="F11" s="316"/>
      <c r="L11" s="297"/>
    </row>
    <row r="12" spans="1:12" ht="15" thickBot="1" x14ac:dyDescent="0.4">
      <c r="A12" s="298"/>
      <c r="L12" s="297"/>
    </row>
    <row r="13" spans="1:12" x14ac:dyDescent="0.35">
      <c r="A13" s="386" t="s">
        <v>91</v>
      </c>
      <c r="B13" s="384" t="s">
        <v>49</v>
      </c>
      <c r="C13" s="384"/>
      <c r="D13" s="384"/>
      <c r="E13" s="384"/>
      <c r="F13" s="384"/>
      <c r="G13" s="384"/>
      <c r="H13" s="384"/>
      <c r="I13" s="385"/>
      <c r="L13" s="297"/>
    </row>
    <row r="14" spans="1:12" x14ac:dyDescent="0.35">
      <c r="A14" s="387"/>
      <c r="B14" s="322"/>
      <c r="C14" s="300" t="s">
        <v>38</v>
      </c>
      <c r="D14" s="300" t="s">
        <v>39</v>
      </c>
      <c r="E14" s="300" t="s">
        <v>40</v>
      </c>
      <c r="F14" s="300" t="s">
        <v>41</v>
      </c>
      <c r="G14" s="300" t="s">
        <v>42</v>
      </c>
      <c r="H14" s="300" t="s">
        <v>43</v>
      </c>
      <c r="I14" s="302" t="s">
        <v>44</v>
      </c>
      <c r="L14" s="297"/>
    </row>
    <row r="15" spans="1:12" x14ac:dyDescent="0.35">
      <c r="A15" s="387"/>
      <c r="B15" s="323" t="s">
        <v>108</v>
      </c>
      <c r="C15" s="340">
        <f>100*A2/15.1*0.857</f>
        <v>0</v>
      </c>
      <c r="D15" s="340">
        <f>100*A2/15.1*0.714</f>
        <v>0</v>
      </c>
      <c r="E15" s="340">
        <f>100*A2/15.1*0.571</f>
        <v>0</v>
      </c>
      <c r="F15" s="340">
        <f>100*A2/15.1*0.429</f>
        <v>0</v>
      </c>
      <c r="G15" s="340">
        <f>100*A2/15.1*0.286</f>
        <v>0</v>
      </c>
      <c r="H15" s="340">
        <f>100*A2/15.1*0.143</f>
        <v>0</v>
      </c>
      <c r="I15" s="341">
        <f>100*A2/15.1*0</f>
        <v>0</v>
      </c>
      <c r="L15" s="297"/>
    </row>
    <row r="16" spans="1:12" x14ac:dyDescent="0.35">
      <c r="A16" s="387"/>
      <c r="B16" s="342" t="s">
        <v>105</v>
      </c>
      <c r="C16" s="307">
        <f>100*A2/25*0.143</f>
        <v>0</v>
      </c>
      <c r="D16" s="307">
        <f>100*A2/25*0.286</f>
        <v>0</v>
      </c>
      <c r="E16" s="307">
        <f>100*A2/25*0.429</f>
        <v>0</v>
      </c>
      <c r="F16" s="307">
        <f>100*A2/25*0.571</f>
        <v>0</v>
      </c>
      <c r="G16" s="307">
        <f>100*A2/25*0.714</f>
        <v>0</v>
      </c>
      <c r="H16" s="307">
        <f>100*A2/25*0.857</f>
        <v>0</v>
      </c>
      <c r="I16" s="308">
        <f>100*A2/25*1</f>
        <v>0</v>
      </c>
      <c r="L16" s="297"/>
    </row>
    <row r="17" spans="1:12" x14ac:dyDescent="0.35">
      <c r="A17" s="387"/>
      <c r="B17" s="331" t="s">
        <v>109</v>
      </c>
      <c r="C17" s="330">
        <f>(C15*500/100)+(C16*385/100)</f>
        <v>0</v>
      </c>
      <c r="D17" s="330">
        <f t="shared" ref="D17:I17" si="2">(D15*500/100)+(D16*385/100)</f>
        <v>0</v>
      </c>
      <c r="E17" s="330">
        <f t="shared" si="2"/>
        <v>0</v>
      </c>
      <c r="F17" s="330">
        <f t="shared" si="2"/>
        <v>0</v>
      </c>
      <c r="G17" s="330">
        <f t="shared" si="2"/>
        <v>0</v>
      </c>
      <c r="H17" s="330">
        <f t="shared" si="2"/>
        <v>0</v>
      </c>
      <c r="I17" s="330">
        <f t="shared" si="2"/>
        <v>0</v>
      </c>
      <c r="L17" s="297"/>
    </row>
    <row r="18" spans="1:12" ht="15" thickBot="1" x14ac:dyDescent="0.4">
      <c r="A18" s="393"/>
      <c r="B18" s="335" t="s">
        <v>48</v>
      </c>
      <c r="C18" s="336">
        <f t="shared" ref="C18:I18" si="3">C16*11.2/100</f>
        <v>0</v>
      </c>
      <c r="D18" s="336">
        <f t="shared" si="3"/>
        <v>0</v>
      </c>
      <c r="E18" s="336">
        <f t="shared" si="3"/>
        <v>0</v>
      </c>
      <c r="F18" s="336">
        <f t="shared" si="3"/>
        <v>0</v>
      </c>
      <c r="G18" s="336">
        <f t="shared" si="3"/>
        <v>0</v>
      </c>
      <c r="H18" s="336">
        <f t="shared" si="3"/>
        <v>0</v>
      </c>
      <c r="I18" s="336">
        <f t="shared" si="3"/>
        <v>0</v>
      </c>
      <c r="J18" s="315" t="s">
        <v>1</v>
      </c>
      <c r="L18" s="297"/>
    </row>
    <row r="19" spans="1:12" x14ac:dyDescent="0.35">
      <c r="A19" s="298"/>
      <c r="B19" s="315"/>
      <c r="C19" s="318"/>
      <c r="D19" s="318"/>
      <c r="E19" s="318"/>
      <c r="F19" s="318"/>
      <c r="G19" s="318"/>
      <c r="H19" s="318"/>
      <c r="I19" s="318"/>
      <c r="L19" s="297"/>
    </row>
    <row r="20" spans="1:12" ht="15" thickBot="1" x14ac:dyDescent="0.4">
      <c r="A20" s="298"/>
      <c r="L20" s="297"/>
    </row>
    <row r="21" spans="1:12" x14ac:dyDescent="0.35">
      <c r="A21" s="389" t="s">
        <v>86</v>
      </c>
      <c r="B21" s="384" t="s">
        <v>50</v>
      </c>
      <c r="C21" s="384"/>
      <c r="D21" s="384"/>
      <c r="E21" s="384"/>
      <c r="F21" s="385"/>
      <c r="L21" s="297"/>
    </row>
    <row r="22" spans="1:12" x14ac:dyDescent="0.35">
      <c r="A22" s="390"/>
      <c r="B22" s="322"/>
      <c r="C22" s="300" t="s">
        <v>38</v>
      </c>
      <c r="D22" s="300" t="s">
        <v>39</v>
      </c>
      <c r="E22" s="300" t="s">
        <v>40</v>
      </c>
      <c r="F22" s="302" t="s">
        <v>41</v>
      </c>
      <c r="L22" s="297"/>
    </row>
    <row r="23" spans="1:12" x14ac:dyDescent="0.35">
      <c r="A23" s="390"/>
      <c r="B23" s="323" t="s">
        <v>108</v>
      </c>
      <c r="C23" s="340">
        <f>100*A2/15.1*0.75</f>
        <v>0</v>
      </c>
      <c r="D23" s="340">
        <f>100*A2/15.1*0.5</f>
        <v>0</v>
      </c>
      <c r="E23" s="340">
        <f>100*A2/15.1*0.25</f>
        <v>0</v>
      </c>
      <c r="F23" s="341">
        <f>100/15.1*A2*0</f>
        <v>0</v>
      </c>
      <c r="L23" s="297"/>
    </row>
    <row r="24" spans="1:12" x14ac:dyDescent="0.35">
      <c r="A24" s="390"/>
      <c r="B24" s="342" t="s">
        <v>105</v>
      </c>
      <c r="C24" s="307">
        <f>100*A2/25*0.25</f>
        <v>0</v>
      </c>
      <c r="D24" s="307">
        <f>100*A2/25*0.5</f>
        <v>0</v>
      </c>
      <c r="E24" s="307">
        <f>100*A2/25*0.75</f>
        <v>0</v>
      </c>
      <c r="F24" s="308">
        <f>100*A2/25*1</f>
        <v>0</v>
      </c>
      <c r="L24" s="297"/>
    </row>
    <row r="25" spans="1:12" x14ac:dyDescent="0.35">
      <c r="A25" s="390"/>
      <c r="B25" s="331" t="s">
        <v>109</v>
      </c>
      <c r="C25" s="330">
        <f>(C23*500/100)+(C24*385/100)</f>
        <v>0</v>
      </c>
      <c r="D25" s="330">
        <f t="shared" ref="D25:F25" si="4">(D23*500/100)+(D24*385/100)</f>
        <v>0</v>
      </c>
      <c r="E25" s="330">
        <f t="shared" si="4"/>
        <v>0</v>
      </c>
      <c r="F25" s="330">
        <f t="shared" si="4"/>
        <v>0</v>
      </c>
      <c r="L25" s="297"/>
    </row>
    <row r="26" spans="1:12" ht="15" thickBot="1" x14ac:dyDescent="0.4">
      <c r="A26" s="391"/>
      <c r="B26" s="335" t="s">
        <v>48</v>
      </c>
      <c r="C26" s="336">
        <f>C24*11.2/100</f>
        <v>0</v>
      </c>
      <c r="D26" s="336">
        <f>D24*11.2/100</f>
        <v>0</v>
      </c>
      <c r="E26" s="336">
        <f>E24*11.2/100</f>
        <v>0</v>
      </c>
      <c r="F26" s="336">
        <f>F24*11.2/100</f>
        <v>0</v>
      </c>
      <c r="L26" s="297"/>
    </row>
    <row r="27" spans="1:12" x14ac:dyDescent="0.35">
      <c r="A27" s="298"/>
      <c r="L27" s="297"/>
    </row>
    <row r="28" spans="1:12" ht="15" thickBot="1" x14ac:dyDescent="0.4">
      <c r="A28" s="319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30" spans="1:12" x14ac:dyDescent="0.35">
      <c r="A30" s="28" t="s">
        <v>120</v>
      </c>
    </row>
    <row r="31" spans="1:12" ht="8.25" customHeight="1" x14ac:dyDescent="0.35">
      <c r="B31" s="392"/>
      <c r="C31" s="392"/>
      <c r="D31" s="392"/>
      <c r="E31" s="392"/>
      <c r="F31" s="392"/>
      <c r="G31" s="392"/>
      <c r="H31" s="392"/>
    </row>
    <row r="32" spans="1:12" x14ac:dyDescent="0.35">
      <c r="A32" s="161" t="s">
        <v>114</v>
      </c>
    </row>
    <row r="33" spans="1:1" x14ac:dyDescent="0.35">
      <c r="A33" s="339" t="s">
        <v>110</v>
      </c>
    </row>
  </sheetData>
  <sheetProtection algorithmName="SHA-512" hashValue="KI2st52DBC+/SIr0XFnwXjecJSSFm5TK/DEKtS5/vooN5lGbj5Y6hcMSD+TGC6zGcd4ET4soIoSL1rbnxtjAWQ==" saltValue="1l/FyWoEEbwmfK9dulvCZQ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A8A378-CAD0-40BE-AC16-E645F3553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E1470B-49D4-45D1-9B73-9AB6B2DFF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CB0E54-2519-4B23-AA03-B3F8D30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Home</vt:lpstr>
      <vt:lpstr>DRIs GA-1 Anamix Early Yrs</vt:lpstr>
      <vt:lpstr>DRIs GlutarAde Junior</vt:lpstr>
      <vt:lpstr>DRIs GlutarAde Essential</vt:lpstr>
      <vt:lpstr>GA-1 EY to GlutarAde Essential</vt:lpstr>
      <vt:lpstr>Abbott Glutarex-1 to GA-1 EY</vt:lpstr>
      <vt:lpstr>Abbott Glutarex-1 to Essential </vt:lpstr>
      <vt:lpstr>GA to GA-1 EY</vt:lpstr>
      <vt:lpstr>GA to Essential</vt:lpstr>
    </vt:vector>
  </TitlesOfParts>
  <Company>The Dannon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Leuffgen Linda</dc:creator>
  <cp:lastModifiedBy>POWERS Rachel</cp:lastModifiedBy>
  <dcterms:created xsi:type="dcterms:W3CDTF">2015-03-31T16:54:07Z</dcterms:created>
  <dcterms:modified xsi:type="dcterms:W3CDTF">2023-02-10T16:35:32Z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