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defaultThemeVersion="124226"/>
  <mc:AlternateContent xmlns:mc="http://schemas.openxmlformats.org/markup-compatibility/2006">
    <mc:Choice Requires="x15">
      <x15ac:absPath xmlns:x15ac="http://schemas.microsoft.com/office/spreadsheetml/2010/11/ac" url="https://danone-my.sharepoint.com/personal/rachel_powers_danone_com/Documents/My Projects/Interactive Tool Updates &amp; Comparison Spreadsheets/FINAL Updated/PROTECTED Final Spreadsheets_PW Nutr14/"/>
    </mc:Choice>
  </mc:AlternateContent>
  <xr:revisionPtr revIDLastSave="8" documentId="8_{75BC5D06-3808-4C13-B84D-C1B5C1C28454}" xr6:coauthVersionLast="47" xr6:coauthVersionMax="47" xr10:uidLastSave="{CB1EA7AF-25C9-4E2E-B4DA-73C7F36F07D7}"/>
  <bookViews>
    <workbookView xWindow="-110" yWindow="-110" windowWidth="19420" windowHeight="10560" tabRatio="832" xr2:uid="{00000000-000D-0000-FFFF-FFFF00000000}"/>
  </bookViews>
  <sheets>
    <sheet name="Home" sheetId="1" r:id="rId1"/>
    <sheet name="DRIs MMA-PA Anamix Early Yrs" sheetId="2" r:id="rId2"/>
    <sheet name="DRIs MMA-PA Anamix Next" sheetId="3" r:id="rId3"/>
    <sheet name="MMA-PA Early Yrs to Next" sheetId="6" r:id="rId4"/>
    <sheet name="Abbott Propimex-1 to Early Yrs" sheetId="11" r:id="rId5"/>
    <sheet name="Abbott Propimex-1 to Next" sheetId="16" r:id="rId6"/>
    <sheet name="MJ OA1 to Early Yrs" sheetId="17" r:id="rId7"/>
    <sheet name="MJ OA2 to Next" sheetId="18"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7" l="1"/>
  <c r="E23" i="17"/>
  <c r="D23" i="17"/>
  <c r="C23" i="17"/>
  <c r="I15" i="17"/>
  <c r="H15" i="17"/>
  <c r="G15" i="17"/>
  <c r="F15" i="17"/>
  <c r="E15" i="17"/>
  <c r="D15" i="17"/>
  <c r="C15" i="17"/>
  <c r="L7" i="17"/>
  <c r="K7" i="17"/>
  <c r="J7" i="17"/>
  <c r="I7" i="17"/>
  <c r="H7" i="17"/>
  <c r="G7" i="17"/>
  <c r="F7" i="17"/>
  <c r="E7" i="17"/>
  <c r="D7" i="17"/>
  <c r="C7" i="17"/>
  <c r="C7" i="6" l="1"/>
  <c r="C7" i="16" l="1"/>
  <c r="L8" i="6"/>
  <c r="K8" i="6"/>
  <c r="K9" i="6" s="1"/>
  <c r="J8" i="6"/>
  <c r="I8" i="6"/>
  <c r="L7" i="6"/>
  <c r="K7" i="6"/>
  <c r="J7" i="6"/>
  <c r="J9" i="6" s="1"/>
  <c r="I7" i="6"/>
  <c r="L9" i="6" l="1"/>
  <c r="I9" i="6"/>
  <c r="F23" i="18"/>
  <c r="E23" i="18"/>
  <c r="D23" i="18"/>
  <c r="C23" i="18"/>
  <c r="C25" i="18" s="1"/>
  <c r="I15" i="18"/>
  <c r="I17" i="18" s="1"/>
  <c r="H15" i="18"/>
  <c r="H17" i="18" s="1"/>
  <c r="G15" i="18"/>
  <c r="F15" i="18"/>
  <c r="E15" i="18"/>
  <c r="D15" i="18"/>
  <c r="C15" i="18"/>
  <c r="L7" i="18"/>
  <c r="L9" i="18" s="1"/>
  <c r="K7" i="18"/>
  <c r="K9" i="18" s="1"/>
  <c r="J7" i="18"/>
  <c r="J9" i="18" s="1"/>
  <c r="I7" i="18"/>
  <c r="H7" i="18"/>
  <c r="G7" i="18"/>
  <c r="F7" i="18"/>
  <c r="E7" i="18"/>
  <c r="D7" i="18"/>
  <c r="D9" i="18" s="1"/>
  <c r="C7" i="18"/>
  <c r="C9" i="18" s="1"/>
  <c r="F24" i="18"/>
  <c r="F26" i="18" s="1"/>
  <c r="E24" i="18"/>
  <c r="E26" i="18" s="1"/>
  <c r="D24" i="18"/>
  <c r="D26" i="18" s="1"/>
  <c r="C24" i="18"/>
  <c r="C26" i="18" s="1"/>
  <c r="I16" i="18"/>
  <c r="I18" i="18" s="1"/>
  <c r="H16" i="18"/>
  <c r="G16" i="18"/>
  <c r="G18" i="18" s="1"/>
  <c r="F16" i="18"/>
  <c r="F18" i="18" s="1"/>
  <c r="E16" i="18"/>
  <c r="E18" i="18" s="1"/>
  <c r="D16" i="18"/>
  <c r="C16" i="18"/>
  <c r="C18" i="18" s="1"/>
  <c r="L8" i="18"/>
  <c r="L10" i="18" s="1"/>
  <c r="K8" i="18"/>
  <c r="K10" i="18" s="1"/>
  <c r="J8" i="18"/>
  <c r="J10" i="18" s="1"/>
  <c r="I8" i="18"/>
  <c r="I10" i="18" s="1"/>
  <c r="H8" i="18"/>
  <c r="H10" i="18" s="1"/>
  <c r="G8" i="18"/>
  <c r="G10" i="18" s="1"/>
  <c r="F8" i="18"/>
  <c r="F10" i="18" s="1"/>
  <c r="E8" i="18"/>
  <c r="E10" i="18" s="1"/>
  <c r="D8" i="18"/>
  <c r="D10" i="18" s="1"/>
  <c r="C8" i="18"/>
  <c r="C10" i="18" s="1"/>
  <c r="L9" i="17"/>
  <c r="F24" i="17"/>
  <c r="F26" i="17" s="1"/>
  <c r="E24" i="17"/>
  <c r="E26" i="17" s="1"/>
  <c r="D24" i="17"/>
  <c r="D26" i="17" s="1"/>
  <c r="C24" i="17"/>
  <c r="C26" i="17" s="1"/>
  <c r="I16" i="17"/>
  <c r="I18" i="17" s="1"/>
  <c r="H16" i="17"/>
  <c r="H18" i="17" s="1"/>
  <c r="G16" i="17"/>
  <c r="G18" i="17" s="1"/>
  <c r="F16" i="17"/>
  <c r="F18" i="17" s="1"/>
  <c r="E16" i="17"/>
  <c r="E18" i="17" s="1"/>
  <c r="D16" i="17"/>
  <c r="D18" i="17" s="1"/>
  <c r="C16" i="17"/>
  <c r="C18" i="17" s="1"/>
  <c r="L8" i="17"/>
  <c r="L10" i="17" s="1"/>
  <c r="K8" i="17"/>
  <c r="K10" i="17" s="1"/>
  <c r="J8" i="17"/>
  <c r="J10" i="17" s="1"/>
  <c r="I8" i="17"/>
  <c r="I10" i="17" s="1"/>
  <c r="H8" i="17"/>
  <c r="H10" i="17" s="1"/>
  <c r="G8" i="17"/>
  <c r="G10" i="17" s="1"/>
  <c r="F8" i="17"/>
  <c r="F10" i="17" s="1"/>
  <c r="E8" i="17"/>
  <c r="E10" i="17" s="1"/>
  <c r="D8" i="17"/>
  <c r="D10" i="17" s="1"/>
  <c r="C8" i="17"/>
  <c r="C10" i="17" s="1"/>
  <c r="F24" i="16"/>
  <c r="F26" i="16" s="1"/>
  <c r="E24" i="16"/>
  <c r="E26" i="16" s="1"/>
  <c r="D24" i="16"/>
  <c r="D26" i="16" s="1"/>
  <c r="C24" i="16"/>
  <c r="C26" i="16" s="1"/>
  <c r="I16" i="16"/>
  <c r="I18" i="16" s="1"/>
  <c r="H16" i="16"/>
  <c r="H18" i="16" s="1"/>
  <c r="G16" i="16"/>
  <c r="G18" i="16" s="1"/>
  <c r="F16" i="16"/>
  <c r="F18" i="16" s="1"/>
  <c r="E16" i="16"/>
  <c r="E18" i="16" s="1"/>
  <c r="D16" i="16"/>
  <c r="D18" i="16" s="1"/>
  <c r="C16" i="16"/>
  <c r="C18" i="16" s="1"/>
  <c r="L8" i="16"/>
  <c r="L10" i="16" s="1"/>
  <c r="K8" i="16"/>
  <c r="K10" i="16" s="1"/>
  <c r="J8" i="16"/>
  <c r="J10" i="16" s="1"/>
  <c r="I8" i="16"/>
  <c r="I10" i="16" s="1"/>
  <c r="H8" i="16"/>
  <c r="H10" i="16" s="1"/>
  <c r="G8" i="16"/>
  <c r="G10" i="16" s="1"/>
  <c r="F8" i="16"/>
  <c r="F10" i="16" s="1"/>
  <c r="E8" i="16"/>
  <c r="E10" i="16" s="1"/>
  <c r="D8" i="16"/>
  <c r="D10" i="16" s="1"/>
  <c r="C8" i="16"/>
  <c r="C10" i="16" s="1"/>
  <c r="F23" i="16"/>
  <c r="E23" i="16"/>
  <c r="D23" i="16"/>
  <c r="C23" i="16"/>
  <c r="I15" i="16"/>
  <c r="H15" i="16"/>
  <c r="G15" i="16"/>
  <c r="G17" i="16" s="1"/>
  <c r="F15" i="16"/>
  <c r="F17" i="16" s="1"/>
  <c r="E15" i="16"/>
  <c r="D15" i="16"/>
  <c r="C15" i="16"/>
  <c r="L7" i="16"/>
  <c r="K7" i="16"/>
  <c r="J7" i="16"/>
  <c r="I7" i="16"/>
  <c r="I9" i="16" s="1"/>
  <c r="H7" i="16"/>
  <c r="H9" i="16" s="1"/>
  <c r="G7" i="16"/>
  <c r="F7" i="16"/>
  <c r="E7" i="16"/>
  <c r="D7" i="16"/>
  <c r="H9" i="18" l="1"/>
  <c r="F17" i="18"/>
  <c r="I9" i="18"/>
  <c r="G17" i="18"/>
  <c r="H17" i="17"/>
  <c r="C25" i="17"/>
  <c r="I17" i="17"/>
  <c r="C9" i="17"/>
  <c r="D9" i="17"/>
  <c r="E9" i="18"/>
  <c r="C17" i="18"/>
  <c r="D25" i="18"/>
  <c r="F9" i="18"/>
  <c r="D17" i="18"/>
  <c r="E25" i="18"/>
  <c r="G9" i="18"/>
  <c r="E17" i="18"/>
  <c r="F25" i="18"/>
  <c r="C17" i="17"/>
  <c r="E9" i="17"/>
  <c r="D25" i="17"/>
  <c r="J9" i="17"/>
  <c r="K9" i="17"/>
  <c r="H17" i="16"/>
  <c r="J9" i="16"/>
  <c r="C25" i="16"/>
  <c r="K9" i="16"/>
  <c r="D9" i="16"/>
  <c r="E9" i="16"/>
  <c r="D25" i="16"/>
  <c r="E25" i="16"/>
  <c r="I17" i="16"/>
  <c r="L9" i="16"/>
  <c r="C17" i="16"/>
  <c r="F9" i="16"/>
  <c r="D17" i="16"/>
  <c r="G9" i="16"/>
  <c r="E17" i="16"/>
  <c r="F25" i="16"/>
  <c r="C9" i="16"/>
  <c r="F9" i="17"/>
  <c r="D17" i="17"/>
  <c r="E25" i="17"/>
  <c r="G9" i="17"/>
  <c r="E17" i="17"/>
  <c r="F25" i="17"/>
  <c r="H9" i="17"/>
  <c r="F17" i="17"/>
  <c r="I9" i="17"/>
  <c r="G17" i="17"/>
  <c r="D18" i="18"/>
  <c r="H18" i="18"/>
  <c r="H15" i="6"/>
  <c r="G15" i="6"/>
  <c r="F15" i="6"/>
  <c r="E15" i="6"/>
  <c r="D15" i="6"/>
  <c r="C15" i="6"/>
  <c r="H14" i="6"/>
  <c r="G14" i="6"/>
  <c r="F14" i="6"/>
  <c r="E14" i="6"/>
  <c r="D14" i="6"/>
  <c r="C14" i="6"/>
  <c r="C16" i="6" s="1"/>
  <c r="H16" i="6" l="1"/>
  <c r="D16" i="6"/>
  <c r="E16" i="6"/>
  <c r="F16" i="6"/>
  <c r="G16" i="6"/>
  <c r="B11" i="3"/>
  <c r="B10" i="3"/>
  <c r="B9" i="3"/>
  <c r="F23" i="11" l="1"/>
  <c r="E23" i="11"/>
  <c r="D23" i="11"/>
  <c r="C23" i="11"/>
  <c r="I15" i="11"/>
  <c r="H15" i="11"/>
  <c r="H17" i="11" s="1"/>
  <c r="G15" i="11"/>
  <c r="F15" i="11"/>
  <c r="E15" i="11"/>
  <c r="D15" i="11"/>
  <c r="C15" i="11"/>
  <c r="L7" i="11"/>
  <c r="K7" i="11"/>
  <c r="J7" i="11"/>
  <c r="I7" i="11"/>
  <c r="H7" i="11"/>
  <c r="G7" i="11"/>
  <c r="F7" i="11"/>
  <c r="E7" i="11"/>
  <c r="D7" i="11"/>
  <c r="C7" i="11"/>
  <c r="F24" i="11"/>
  <c r="F26" i="11" s="1"/>
  <c r="E24" i="11"/>
  <c r="E26" i="11" s="1"/>
  <c r="D24" i="11"/>
  <c r="D26" i="11" s="1"/>
  <c r="C24" i="11"/>
  <c r="C26" i="11" s="1"/>
  <c r="I16" i="11"/>
  <c r="I18" i="11" s="1"/>
  <c r="H16" i="11"/>
  <c r="H18" i="11" s="1"/>
  <c r="G16" i="11"/>
  <c r="G18" i="11" s="1"/>
  <c r="F16" i="11"/>
  <c r="F18" i="11" s="1"/>
  <c r="E16" i="11"/>
  <c r="E18" i="11" s="1"/>
  <c r="D16" i="11"/>
  <c r="D18" i="11" s="1"/>
  <c r="C16" i="11"/>
  <c r="C18" i="11" s="1"/>
  <c r="L8" i="11"/>
  <c r="L10" i="11" s="1"/>
  <c r="K8" i="11"/>
  <c r="K10" i="11" s="1"/>
  <c r="J8" i="11"/>
  <c r="J10" i="11" s="1"/>
  <c r="I8" i="11"/>
  <c r="I10" i="11" s="1"/>
  <c r="H8" i="11"/>
  <c r="H10" i="11" s="1"/>
  <c r="G8" i="11"/>
  <c r="G10" i="11" s="1"/>
  <c r="F8" i="11"/>
  <c r="F10" i="11" s="1"/>
  <c r="E8" i="11"/>
  <c r="E10" i="11" s="1"/>
  <c r="D8" i="11"/>
  <c r="D10" i="11" s="1"/>
  <c r="C8" i="11"/>
  <c r="C10" i="11" s="1"/>
  <c r="E25" i="11" l="1"/>
  <c r="J9" i="11"/>
  <c r="F9" i="11"/>
  <c r="D17" i="11"/>
  <c r="C9" i="11"/>
  <c r="G9" i="11"/>
  <c r="K9" i="11"/>
  <c r="E17" i="11"/>
  <c r="I17" i="11"/>
  <c r="F25" i="11"/>
  <c r="D9" i="11"/>
  <c r="H9" i="11"/>
  <c r="L9" i="11"/>
  <c r="F17" i="11"/>
  <c r="C25" i="11"/>
  <c r="E9" i="11"/>
  <c r="I9" i="11"/>
  <c r="C17" i="11"/>
  <c r="G17" i="11"/>
  <c r="D25" i="11"/>
  <c r="B4" i="2"/>
  <c r="B17" i="2" l="1"/>
  <c r="B18" i="2"/>
  <c r="B5" i="2"/>
  <c r="B24" i="2"/>
  <c r="H24" i="2" s="1"/>
  <c r="B13" i="2"/>
  <c r="B12" i="2"/>
  <c r="B28" i="2"/>
  <c r="H28" i="2" s="1"/>
  <c r="B6" i="2"/>
  <c r="B49" i="2"/>
  <c r="H49" i="2" s="1"/>
  <c r="B48" i="2"/>
  <c r="H48" i="2" s="1"/>
  <c r="B47" i="2"/>
  <c r="H47" i="2" s="1"/>
  <c r="B46" i="2"/>
  <c r="H46" i="2" s="1"/>
  <c r="B45" i="2"/>
  <c r="H45" i="2" s="1"/>
  <c r="B44" i="2"/>
  <c r="H44" i="2" s="1"/>
  <c r="B43" i="2"/>
  <c r="H43" i="2" s="1"/>
  <c r="B42" i="2"/>
  <c r="H42" i="2" s="1"/>
  <c r="B41" i="2"/>
  <c r="H41" i="2" s="1"/>
  <c r="B40" i="2"/>
  <c r="H40" i="2" s="1"/>
  <c r="B39" i="2"/>
  <c r="H39" i="2" s="1"/>
  <c r="B38" i="2"/>
  <c r="H38" i="2" s="1"/>
  <c r="B37" i="2"/>
  <c r="H37" i="2" s="1"/>
  <c r="B36" i="2"/>
  <c r="H36" i="2" s="1"/>
  <c r="B34" i="2"/>
  <c r="B33" i="2"/>
  <c r="H33" i="2" s="1"/>
  <c r="B32" i="2"/>
  <c r="H32" i="2" s="1"/>
  <c r="B31" i="2"/>
  <c r="H31" i="2" s="1"/>
  <c r="B30" i="2"/>
  <c r="H30" i="2" s="1"/>
  <c r="B29" i="2"/>
  <c r="H29" i="2" s="1"/>
  <c r="B27" i="2"/>
  <c r="H27" i="2" s="1"/>
  <c r="B26" i="2"/>
  <c r="H26" i="2" s="1"/>
  <c r="B25" i="2"/>
  <c r="H25" i="2" s="1"/>
  <c r="B23" i="2"/>
  <c r="H23" i="2" s="1"/>
  <c r="B22" i="2"/>
  <c r="H22" i="2" s="1"/>
  <c r="B21" i="2"/>
  <c r="H21" i="2" s="1"/>
  <c r="B20" i="2"/>
  <c r="H20" i="2" s="1"/>
  <c r="B16" i="2"/>
  <c r="H16" i="2" s="1"/>
  <c r="B15" i="2"/>
  <c r="H15" i="2" s="1"/>
  <c r="B14" i="2"/>
  <c r="H14" i="2" s="1"/>
  <c r="B11" i="2"/>
  <c r="B10" i="2"/>
  <c r="B9" i="2"/>
  <c r="B8" i="2"/>
  <c r="B7" i="2"/>
  <c r="H7" i="2" s="1"/>
  <c r="D7" i="2" l="1"/>
  <c r="F7" i="2" l="1"/>
  <c r="F47" i="2"/>
  <c r="D47" i="2"/>
  <c r="F43" i="2" l="1"/>
  <c r="D43" i="2"/>
  <c r="F24" i="2"/>
  <c r="D24" i="2"/>
  <c r="D33" i="2"/>
  <c r="F33" i="2"/>
  <c r="F37" i="2"/>
  <c r="D37" i="2"/>
  <c r="F22" i="2"/>
  <c r="D22" i="2"/>
  <c r="F38" i="2"/>
  <c r="D38" i="2"/>
  <c r="D14" i="2"/>
  <c r="F14" i="2"/>
  <c r="D25" i="2"/>
  <c r="F25" i="2"/>
  <c r="F39" i="2"/>
  <c r="D39" i="2"/>
  <c r="F20" i="2"/>
  <c r="D20" i="2"/>
  <c r="D48" i="2"/>
  <c r="F48" i="2"/>
  <c r="F49" i="2"/>
  <c r="D49" i="2"/>
  <c r="F15" i="2"/>
  <c r="D15" i="2"/>
  <c r="F31" i="2"/>
  <c r="D31" i="2"/>
  <c r="D21" i="2"/>
  <c r="F21" i="2"/>
  <c r="F32" i="2"/>
  <c r="D32" i="2"/>
  <c r="D40" i="2"/>
  <c r="F40" i="2"/>
  <c r="F45" i="2"/>
  <c r="D45" i="2"/>
  <c r="F30" i="2"/>
  <c r="D30" i="2"/>
  <c r="F46" i="2"/>
  <c r="D46" i="2"/>
  <c r="D27" i="2"/>
  <c r="F27" i="2"/>
  <c r="D44" i="2"/>
  <c r="F44" i="2"/>
  <c r="F28" i="2"/>
  <c r="D28" i="2"/>
  <c r="F8" i="2"/>
  <c r="D8" i="2"/>
  <c r="D36" i="2"/>
  <c r="F36" i="2"/>
  <c r="F41" i="2"/>
  <c r="D41" i="2"/>
  <c r="F26" i="2"/>
  <c r="D26" i="2"/>
  <c r="D42" i="2"/>
  <c r="F42" i="2"/>
  <c r="D23" i="2"/>
  <c r="F23" i="2"/>
  <c r="D29" i="2"/>
  <c r="F29" i="2"/>
  <c r="F21" i="6"/>
  <c r="E21" i="6"/>
  <c r="D21" i="6"/>
  <c r="C21" i="6"/>
  <c r="C23" i="6" s="1"/>
  <c r="H7" i="6"/>
  <c r="G7" i="6"/>
  <c r="F7" i="6"/>
  <c r="E7" i="6"/>
  <c r="D7" i="6"/>
  <c r="F22" i="6"/>
  <c r="E22" i="6"/>
  <c r="D22" i="6"/>
  <c r="C22" i="6"/>
  <c r="H8" i="6"/>
  <c r="G8" i="6"/>
  <c r="F8" i="6"/>
  <c r="E8" i="6"/>
  <c r="D8" i="6"/>
  <c r="C8" i="6"/>
  <c r="C9" i="6" s="1"/>
  <c r="B7" i="3"/>
  <c r="F7" i="3" s="1"/>
  <c r="B4" i="3"/>
  <c r="D23" i="6" l="1"/>
  <c r="D9" i="6"/>
  <c r="F9" i="6"/>
  <c r="F23" i="6"/>
  <c r="G9" i="6"/>
  <c r="E23" i="6"/>
  <c r="E9" i="6"/>
  <c r="H9" i="6"/>
  <c r="B45" i="3"/>
  <c r="B37" i="3"/>
  <c r="B28" i="3"/>
  <c r="B20" i="3"/>
  <c r="B26" i="3"/>
  <c r="B13" i="3"/>
  <c r="H13" i="3" s="1"/>
  <c r="B6" i="3"/>
  <c r="B47" i="3"/>
  <c r="H47" i="3" s="1"/>
  <c r="B22" i="3"/>
  <c r="B29" i="3"/>
  <c r="B44" i="3"/>
  <c r="B36" i="3"/>
  <c r="B27" i="3"/>
  <c r="B19" i="3"/>
  <c r="B35" i="3"/>
  <c r="H35" i="3" s="1"/>
  <c r="B18" i="3"/>
  <c r="H18" i="3" s="1"/>
  <c r="B32" i="3"/>
  <c r="B31" i="3"/>
  <c r="B30" i="3"/>
  <c r="B46" i="3"/>
  <c r="B21" i="3"/>
  <c r="B43" i="3"/>
  <c r="H43" i="3" s="1"/>
  <c r="B42" i="3"/>
  <c r="B34" i="3"/>
  <c r="B25" i="3"/>
  <c r="B24" i="3"/>
  <c r="B40" i="3"/>
  <c r="B39" i="3"/>
  <c r="B38" i="3"/>
  <c r="B41" i="3"/>
  <c r="D41" i="3" s="1"/>
  <c r="B23" i="3"/>
  <c r="B5" i="3"/>
  <c r="H7" i="3"/>
  <c r="F46" i="3"/>
  <c r="H26" i="3"/>
  <c r="H22" i="3"/>
  <c r="B15" i="3"/>
  <c r="D7" i="3"/>
  <c r="D28" i="3"/>
  <c r="J24" i="3"/>
  <c r="H37" i="3"/>
  <c r="B8" i="3"/>
  <c r="J20" i="3"/>
  <c r="H30" i="3"/>
  <c r="H39" i="3"/>
  <c r="J7" i="3"/>
  <c r="B14" i="3"/>
  <c r="B12" i="3"/>
  <c r="B16" i="3"/>
  <c r="F35" i="3" l="1"/>
  <c r="D35" i="3"/>
  <c r="J35" i="3"/>
  <c r="H41" i="3"/>
  <c r="H46" i="3"/>
  <c r="J46" i="3"/>
  <c r="F22" i="3"/>
  <c r="H24" i="3"/>
  <c r="D22" i="3"/>
  <c r="D46" i="3"/>
  <c r="J18" i="3"/>
  <c r="J41" i="3"/>
  <c r="F13" i="3"/>
  <c r="H28" i="3"/>
  <c r="F41" i="3"/>
  <c r="J28" i="3"/>
  <c r="F28" i="3"/>
  <c r="F43" i="3"/>
  <c r="D43" i="3"/>
  <c r="J13" i="3"/>
  <c r="J22" i="3"/>
  <c r="F39" i="3"/>
  <c r="J30" i="3"/>
  <c r="J37" i="3"/>
  <c r="H20" i="3"/>
  <c r="F47" i="3"/>
  <c r="D39" i="3"/>
  <c r="D47" i="3"/>
  <c r="J47" i="3"/>
  <c r="J39" i="3"/>
  <c r="F30" i="3"/>
  <c r="D30" i="3"/>
  <c r="D24" i="3"/>
  <c r="F24" i="3"/>
  <c r="D18" i="3"/>
  <c r="D45" i="3"/>
  <c r="F45" i="3"/>
  <c r="H45" i="3"/>
  <c r="J43" i="3"/>
  <c r="J26" i="3"/>
  <c r="J45" i="3"/>
  <c r="F26" i="3"/>
  <c r="F18" i="3"/>
  <c r="D26" i="3"/>
  <c r="D13" i="3"/>
  <c r="D20" i="3"/>
  <c r="F20" i="3"/>
  <c r="D37" i="3"/>
  <c r="F37" i="3"/>
  <c r="J42" i="3"/>
  <c r="H42" i="3"/>
  <c r="F42" i="3"/>
  <c r="D42" i="3"/>
  <c r="F40" i="3"/>
  <c r="D40" i="3"/>
  <c r="J40" i="3"/>
  <c r="H40" i="3"/>
  <c r="F27" i="3"/>
  <c r="D27" i="3"/>
  <c r="J27" i="3"/>
  <c r="H27" i="3"/>
  <c r="F14" i="3"/>
  <c r="D14" i="3"/>
  <c r="J14" i="3"/>
  <c r="H14" i="3"/>
  <c r="J38" i="3"/>
  <c r="H38" i="3"/>
  <c r="F38" i="3"/>
  <c r="D38" i="3"/>
  <c r="J21" i="3"/>
  <c r="H21" i="3"/>
  <c r="F21" i="3"/>
  <c r="D21" i="3"/>
  <c r="F44" i="3"/>
  <c r="D44" i="3"/>
  <c r="J44" i="3"/>
  <c r="H44" i="3"/>
  <c r="F31" i="3"/>
  <c r="D31" i="3"/>
  <c r="J31" i="3"/>
  <c r="H31" i="3"/>
  <c r="J34" i="3"/>
  <c r="H34" i="3"/>
  <c r="F34" i="3"/>
  <c r="D34" i="3"/>
  <c r="F19" i="3"/>
  <c r="D19" i="3"/>
  <c r="J19" i="3"/>
  <c r="H19" i="3"/>
  <c r="J25" i="3"/>
  <c r="H25" i="3"/>
  <c r="F25" i="3"/>
  <c r="D25" i="3"/>
  <c r="J29" i="3"/>
  <c r="H29" i="3"/>
  <c r="F29" i="3"/>
  <c r="D29" i="3"/>
  <c r="F36" i="3"/>
  <c r="D36" i="3"/>
  <c r="J36" i="3"/>
  <c r="H36" i="3"/>
  <c r="F23" i="3"/>
  <c r="D23" i="3"/>
  <c r="J23" i="3"/>
  <c r="H23" i="3"/>
</calcChain>
</file>

<file path=xl/sharedStrings.xml><?xml version="1.0" encoding="utf-8"?>
<sst xmlns="http://schemas.openxmlformats.org/spreadsheetml/2006/main" count="384" uniqueCount="121">
  <si>
    <r>
      <rPr>
        <b/>
        <sz val="18"/>
        <color rgb="FF000000"/>
        <rFont val="Arial Rounded MT Bold"/>
        <family val="2"/>
      </rPr>
      <t>Welcome to the MMA/PA Anamix</t>
    </r>
    <r>
      <rPr>
        <b/>
        <vertAlign val="superscript"/>
        <sz val="18"/>
        <color rgb="FF000000"/>
        <rFont val="Arial Rounded MT Bold"/>
        <family val="2"/>
      </rPr>
      <t>®</t>
    </r>
    <r>
      <rPr>
        <b/>
        <sz val="18"/>
        <color rgb="FF000000"/>
        <rFont val="Arial Rounded MT Bold"/>
        <family val="2"/>
      </rPr>
      <t xml:space="preserve"> Interactive Tool</t>
    </r>
    <r>
      <rPr>
        <sz val="12"/>
        <color indexed="8"/>
        <rFont val="Arial Rounded MT Bold"/>
        <family val="2"/>
      </rPr>
      <t xml:space="preserve">
</t>
    </r>
    <r>
      <rPr>
        <sz val="12"/>
        <color indexed="8"/>
        <rFont val="Calibri"/>
        <family val="2"/>
        <scheme val="minor"/>
      </rPr>
      <t xml:space="preserve">Our Medical Affairs team developed these worksheets to aid in transitioning your patients throughout the Nutricia product portfolio.
</t>
    </r>
    <r>
      <rPr>
        <i/>
        <sz val="12"/>
        <color indexed="8"/>
        <rFont val="Calibri"/>
        <family val="2"/>
        <scheme val="minor"/>
      </rPr>
      <t xml:space="preserve">
</t>
    </r>
    <r>
      <rPr>
        <i/>
        <sz val="12"/>
        <rFont val="Calibri"/>
        <family val="2"/>
        <scheme val="minor"/>
      </rPr>
      <t xml:space="preserve">Nutricia North America kindly requests that this calculator not be shared with anyone who is not a licensed or certified healthcare provider. </t>
    </r>
  </si>
  <si>
    <t>©2023 Nutricia North America. All Rights Reserved.</t>
  </si>
  <si>
    <t>Propimex®-1 is a registered trademark of Abbott Laboratories Inc. and is not affiliated with Nutricia North America.</t>
  </si>
  <si>
    <t>OA 1 is a product of Mead Johnson &amp; Company, LLC and is not affiliated with Nutricia North America.</t>
  </si>
  <si>
    <t>Patient's Name:</t>
  </si>
  <si>
    <r>
      <rPr>
        <b/>
        <sz val="11"/>
        <rFont val="Calibri"/>
        <family val="2"/>
        <scheme val="minor"/>
      </rPr>
      <t>Enter the grams of</t>
    </r>
    <r>
      <rPr>
        <b/>
        <sz val="10"/>
        <rFont val="Calibri"/>
        <family val="2"/>
        <scheme val="minor"/>
      </rPr>
      <t xml:space="preserve"> </t>
    </r>
    <r>
      <rPr>
        <b/>
        <sz val="12"/>
        <color rgb="FF00B050"/>
        <rFont val="Calibri"/>
        <family val="2"/>
        <scheme val="minor"/>
      </rPr>
      <t>Protein Equivalents</t>
    </r>
    <r>
      <rPr>
        <b/>
        <sz val="10"/>
        <rFont val="Calibri"/>
        <family val="2"/>
        <scheme val="minor"/>
      </rPr>
      <t xml:space="preserve"> </t>
    </r>
    <r>
      <rPr>
        <b/>
        <sz val="11"/>
        <rFont val="Calibri"/>
        <family val="2"/>
        <scheme val="minor"/>
      </rPr>
      <t>needed in the yellow box (cell B3) and press Enter.</t>
    </r>
  </si>
  <si>
    <r>
      <rPr>
        <b/>
        <sz val="18"/>
        <rFont val="Calibri"/>
        <family val="2"/>
        <scheme val="minor"/>
      </rPr>
      <t>MMA/PA Anamix® Early Years DRI Calculator</t>
    </r>
    <r>
      <rPr>
        <b/>
        <sz val="16"/>
        <rFont val="Calibri"/>
        <family val="2"/>
        <scheme val="minor"/>
      </rPr>
      <t xml:space="preserve">
</t>
    </r>
    <r>
      <rPr>
        <sz val="14"/>
        <rFont val="Calibri"/>
        <family val="2"/>
        <scheme val="minor"/>
      </rPr>
      <t>For Healthcare Professionals</t>
    </r>
  </si>
  <si>
    <t>DRI 
0-6 months</t>
  </si>
  <si>
    <t>% DRI 
0-6 months</t>
  </si>
  <si>
    <t>DRI 
7-12 months</t>
  </si>
  <si>
    <t>% DRI 
7-12 months</t>
  </si>
  <si>
    <t>DRI 1-3 years</t>
  </si>
  <si>
    <t>% DRI 
1-3 years</t>
  </si>
  <si>
    <t>Product, g</t>
  </si>
  <si>
    <r>
      <t xml:space="preserve">     </t>
    </r>
    <r>
      <rPr>
        <sz val="11"/>
        <color rgb="FF000000"/>
        <rFont val="Calibri"/>
        <family val="2"/>
        <scheme val="minor"/>
      </rPr>
      <t xml:space="preserve"> Scoops (5 g each)</t>
    </r>
  </si>
  <si>
    <t>Calories</t>
  </si>
  <si>
    <t>Protein Equivalent, g</t>
  </si>
  <si>
    <t>Fat, g</t>
  </si>
  <si>
    <t>N/A</t>
  </si>
  <si>
    <t xml:space="preserve">  Saturated Fat, g</t>
  </si>
  <si>
    <t xml:space="preserve">  Monounsaturated Fat, g</t>
  </si>
  <si>
    <t xml:space="preserve">  Polyunsaturated Fat, g</t>
  </si>
  <si>
    <t xml:space="preserve">       DHA, mg</t>
  </si>
  <si>
    <t xml:space="preserve">       ARA, mg</t>
  </si>
  <si>
    <t xml:space="preserve">       Linoleic Acid, mg</t>
  </si>
  <si>
    <t>Carbohydrate, g</t>
  </si>
  <si>
    <t xml:space="preserve">  Fiber, g</t>
  </si>
  <si>
    <t>GOS, g</t>
  </si>
  <si>
    <t>FOS, g</t>
  </si>
  <si>
    <t>VITAMINS</t>
  </si>
  <si>
    <t>Vit A, mcg</t>
  </si>
  <si>
    <t>Vit D, mcg</t>
  </si>
  <si>
    <t>Vit E, mg</t>
  </si>
  <si>
    <t>Vit K, mcg</t>
  </si>
  <si>
    <t>Thiamin, mg</t>
  </si>
  <si>
    <t>Riboflavin, mg</t>
  </si>
  <si>
    <t>Vit B6, mg</t>
  </si>
  <si>
    <t>Vit B12, mcg</t>
  </si>
  <si>
    <t>Niacin, mg</t>
  </si>
  <si>
    <t>Folic Acid, mcg</t>
  </si>
  <si>
    <t>Pantothenic Acid, mg</t>
  </si>
  <si>
    <t>Biotin, mcg</t>
  </si>
  <si>
    <t>Vit C, mg</t>
  </si>
  <si>
    <t>Choline, mg</t>
  </si>
  <si>
    <t>Inositol, mg</t>
  </si>
  <si>
    <t>MINERALS</t>
  </si>
  <si>
    <t>Calcium, mg</t>
  </si>
  <si>
    <t>Phosphorus, mg</t>
  </si>
  <si>
    <t>Magnesium, mg</t>
  </si>
  <si>
    <t>Iron, mg</t>
  </si>
  <si>
    <t>Zinc, mg</t>
  </si>
  <si>
    <t>Manganese, mg</t>
  </si>
  <si>
    <t>Copper, mcg</t>
  </si>
  <si>
    <t>Iodine, mcg</t>
  </si>
  <si>
    <t>Molybdenum, mcg</t>
  </si>
  <si>
    <t>Chromium, mcg</t>
  </si>
  <si>
    <t>Selenium, mcg</t>
  </si>
  <si>
    <t>Sodium, mg</t>
  </si>
  <si>
    <t>Potassium, mg</t>
  </si>
  <si>
    <t>Chloride, mg</t>
  </si>
  <si>
    <r>
      <rPr>
        <sz val="11"/>
        <color indexed="8"/>
        <rFont val="Calibri"/>
        <family val="2"/>
      </rPr>
      <t xml:space="preserve">DRI values presented here are adapted from the </t>
    </r>
    <r>
      <rPr>
        <i/>
        <sz val="11"/>
        <color indexed="8"/>
        <rFont val="Calibri"/>
        <family val="2"/>
      </rPr>
      <t>Dietary Reference Intakes</t>
    </r>
    <r>
      <rPr>
        <sz val="11"/>
        <color indexed="8"/>
        <rFont val="Calibri"/>
        <family val="2"/>
      </rPr>
      <t xml:space="preserve"> series, by the National Academies of Sciences of the Institute of Medicine. </t>
    </r>
  </si>
  <si>
    <r>
      <t xml:space="preserve">Recommended Dietary Allowances (RDAs) are values shown in </t>
    </r>
    <r>
      <rPr>
        <b/>
        <i/>
        <sz val="11"/>
        <color indexed="8"/>
        <rFont val="Calibri"/>
        <family val="2"/>
      </rPr>
      <t>bold, italicized type</t>
    </r>
    <r>
      <rPr>
        <sz val="11"/>
        <color indexed="8"/>
        <rFont val="Calibri"/>
        <family val="2"/>
      </rPr>
      <t xml:space="preserve"> and Adequate Intakes (AIs) are values shown in</t>
    </r>
    <r>
      <rPr>
        <i/>
        <sz val="11"/>
        <color indexed="8"/>
        <rFont val="Calibri"/>
        <family val="2"/>
      </rPr>
      <t xml:space="preserve"> italicized type</t>
    </r>
    <r>
      <rPr>
        <sz val="11"/>
        <color indexed="8"/>
        <rFont val="Calibri"/>
        <family val="2"/>
      </rPr>
      <t>.</t>
    </r>
  </si>
  <si>
    <t>Protein equivalent RDAs are based on g protein per kg body weight using reference body weights.</t>
  </si>
  <si>
    <t xml:space="preserve">MMA/PA Anamix® Early Years is a medical food in the U.S. and a specialized formula in Canada for the dietary management of methylmalonic acidemia (MMA) and propionic acidemia (PA) in infants and young children. Must be used under medical supervision. </t>
  </si>
  <si>
    <t xml:space="preserve"> </t>
  </si>
  <si>
    <r>
      <rPr>
        <b/>
        <sz val="20"/>
        <rFont val="Calibri"/>
        <family val="2"/>
        <scheme val="minor"/>
      </rPr>
      <t>MMA/PA Anamix® Next DRI Calculator</t>
    </r>
    <r>
      <rPr>
        <sz val="14"/>
        <rFont val="Calibri"/>
        <family val="2"/>
        <scheme val="minor"/>
      </rPr>
      <t xml:space="preserve">
For Healthcare Professionals </t>
    </r>
  </si>
  <si>
    <t>©2023  Nutricia North America. All Rights Reserved.</t>
  </si>
  <si>
    <t>DRI 
1-3 years</t>
  </si>
  <si>
    <t>DRI 
4-8 years</t>
  </si>
  <si>
    <t>% DRI 
4-8 years</t>
  </si>
  <si>
    <t>DRI 
9-13 years
(M)</t>
  </si>
  <si>
    <t>% DRI 
9-13 years 
(M)</t>
  </si>
  <si>
    <t>DRI 
9-13 years 
(F)</t>
  </si>
  <si>
    <t>% DRI 
9-13 years 
(F)</t>
  </si>
  <si>
    <t xml:space="preserve">   Scoops (9 g each)</t>
  </si>
  <si>
    <t xml:space="preserve">Calories </t>
  </si>
  <si>
    <t xml:space="preserve">   Saturated Fat, g</t>
  </si>
  <si>
    <t xml:space="preserve">   Monounsaturated Fat, g</t>
  </si>
  <si>
    <t xml:space="preserve">   Polyunsaturated Fat, g</t>
  </si>
  <si>
    <t xml:space="preserve">      DHA, mg</t>
  </si>
  <si>
    <t xml:space="preserve">   Fiber, g</t>
  </si>
  <si>
    <t xml:space="preserve">      Soluble, g</t>
  </si>
  <si>
    <t xml:space="preserve">      Insoluble, g</t>
  </si>
  <si>
    <t xml:space="preserve">MINERALS </t>
  </si>
  <si>
    <t xml:space="preserve">MMA/PA Anamix®Next is a medical food in the U.S. and a specialized formula in Canada for the dietary management of methylmalonic acidemia (MMA) and propionic acidemia (PA) in individuals over 1 year of age and must be used undermedical supervision. </t>
  </si>
  <si>
    <r>
      <t xml:space="preserve">Type the grams of </t>
    </r>
    <r>
      <rPr>
        <b/>
        <sz val="11"/>
        <color indexed="17"/>
        <rFont val="Arial"/>
        <family val="2"/>
      </rPr>
      <t>Protein Equivalents</t>
    </r>
    <r>
      <rPr>
        <b/>
        <sz val="11"/>
        <rFont val="Arial"/>
        <family val="2"/>
      </rPr>
      <t xml:space="preserve"> needed in the YELLOW box (cell A2) and press Enter.</t>
    </r>
  </si>
  <si>
    <r>
      <t>Step-by-Step Transition from
MMA/PA Anamix</t>
    </r>
    <r>
      <rPr>
        <vertAlign val="superscript"/>
        <sz val="16"/>
        <color indexed="8"/>
        <rFont val="Arial Rounded MT Bold"/>
        <family val="2"/>
      </rPr>
      <t>®</t>
    </r>
    <r>
      <rPr>
        <sz val="16"/>
        <color indexed="8"/>
        <rFont val="Arial Rounded MT Bold"/>
        <family val="2"/>
      </rPr>
      <t xml:space="preserve"> Early Years to 
MMA/PA Anamix</t>
    </r>
    <r>
      <rPr>
        <vertAlign val="superscript"/>
        <sz val="16"/>
        <color indexed="8"/>
        <rFont val="Arial Rounded MT Bold"/>
        <family val="2"/>
      </rPr>
      <t>®</t>
    </r>
    <r>
      <rPr>
        <sz val="16"/>
        <color indexed="8"/>
        <rFont val="Arial Rounded MT Bold"/>
        <family val="2"/>
      </rPr>
      <t xml:space="preserve"> Next!</t>
    </r>
  </si>
  <si>
    <t>10 Step
Transition Guide</t>
  </si>
  <si>
    <t>10 Step Transition</t>
  </si>
  <si>
    <t>Step 1</t>
  </si>
  <si>
    <t>Step 2</t>
  </si>
  <si>
    <t>Step 3</t>
  </si>
  <si>
    <t>Step 4</t>
  </si>
  <si>
    <t>Step 5</t>
  </si>
  <si>
    <t>Step 6</t>
  </si>
  <si>
    <t>Step 7</t>
  </si>
  <si>
    <t>Step 8</t>
  </si>
  <si>
    <t>Step 9</t>
  </si>
  <si>
    <t>Step 10</t>
  </si>
  <si>
    <t>Anamix Early Years, g</t>
  </si>
  <si>
    <t>Anamix Next, g</t>
  </si>
  <si>
    <t>Total Calories</t>
  </si>
  <si>
    <t>6 Step 
Transition Guide</t>
  </si>
  <si>
    <t>6 Step Transition</t>
  </si>
  <si>
    <t>4 Step 
Transition Guide</t>
  </si>
  <si>
    <t>4 Step Transition</t>
  </si>
  <si>
    <t>MMA/PA Anamix® Early Years and Next are medical foods in the U.S. and specialized formulas in Canada for the dietary management of methylmalonic acidemia (MMA) and propionic acidemia (PA) and must be used under medical supervision</t>
  </si>
  <si>
    <r>
      <t>Step-by-Step Transition 
from Abbott's Propimex</t>
    </r>
    <r>
      <rPr>
        <sz val="16"/>
        <color theme="1"/>
        <rFont val="Calibri"/>
        <family val="2"/>
      </rPr>
      <t>®</t>
    </r>
    <r>
      <rPr>
        <sz val="16"/>
        <color theme="1"/>
        <rFont val="Arial Rounded MT Bold"/>
        <family val="2"/>
      </rPr>
      <t>-1</t>
    </r>
    <r>
      <rPr>
        <sz val="16"/>
        <color indexed="8"/>
        <rFont val="Arial Rounded MT Bold"/>
        <family val="2"/>
      </rPr>
      <t xml:space="preserve"> to
Nutricia's MMA/PA Anamix</t>
    </r>
    <r>
      <rPr>
        <vertAlign val="superscript"/>
        <sz val="16"/>
        <color indexed="8"/>
        <rFont val="Arial Rounded MT Bold"/>
        <family val="2"/>
      </rPr>
      <t>®</t>
    </r>
    <r>
      <rPr>
        <sz val="16"/>
        <color indexed="8"/>
        <rFont val="Arial Rounded MT Bold"/>
        <family val="2"/>
      </rPr>
      <t xml:space="preserve"> Early Years</t>
    </r>
  </si>
  <si>
    <t>10 Step 
Transition Guide</t>
  </si>
  <si>
    <t>Propimex-1, g</t>
  </si>
  <si>
    <t>7 Step 
Transition Guide</t>
  </si>
  <si>
    <t>7 Step Transition</t>
  </si>
  <si>
    <t>Propimex®-1 is a registered trademark of Abbott Laboratories Inc. and is not affiliated with Nutricia North America. https://www.abbottnutrition.com/our-products/propimex-1. Accessed February 2023.</t>
  </si>
  <si>
    <r>
      <t>Step-by-Step Transition 
from Abbott's Propimex</t>
    </r>
    <r>
      <rPr>
        <sz val="16"/>
        <color theme="1"/>
        <rFont val="Calibri"/>
        <family val="2"/>
      </rPr>
      <t>®</t>
    </r>
    <r>
      <rPr>
        <sz val="16"/>
        <color theme="1"/>
        <rFont val="Arial Rounded MT Bold"/>
        <family val="2"/>
      </rPr>
      <t>-1</t>
    </r>
    <r>
      <rPr>
        <sz val="16"/>
        <color indexed="8"/>
        <rFont val="Arial Rounded MT Bold"/>
        <family val="2"/>
      </rPr>
      <t xml:space="preserve"> to
Nutricia's MMA/PA Anamix</t>
    </r>
    <r>
      <rPr>
        <vertAlign val="superscript"/>
        <sz val="16"/>
        <color indexed="8"/>
        <rFont val="Arial Rounded MT Bold"/>
        <family val="2"/>
      </rPr>
      <t>®</t>
    </r>
    <r>
      <rPr>
        <sz val="16"/>
        <color indexed="8"/>
        <rFont val="Arial Rounded MT Bold"/>
        <family val="2"/>
      </rPr>
      <t xml:space="preserve"> Next</t>
    </r>
  </si>
  <si>
    <t>MMA/PA Anamix® Next is a medical food in the U.S. and a specialized formula in Canada for the dietary management of methylmalonic acidemia (MMA) and propionic acidemia (PA) in individuals over 1 year of age and must be used under medical supervision.</t>
  </si>
  <si>
    <r>
      <t>Step-by-Step Transition 
from Mead Johnson's OA 1</t>
    </r>
    <r>
      <rPr>
        <sz val="16"/>
        <color theme="1"/>
        <rFont val="Calibri"/>
        <family val="2"/>
      </rPr>
      <t xml:space="preserve"> </t>
    </r>
    <r>
      <rPr>
        <sz val="16"/>
        <color indexed="8"/>
        <rFont val="Arial Rounded MT Bold"/>
        <family val="2"/>
      </rPr>
      <t xml:space="preserve">
to Nutricia's MMA/PA Anamix</t>
    </r>
    <r>
      <rPr>
        <vertAlign val="superscript"/>
        <sz val="16"/>
        <color indexed="8"/>
        <rFont val="Arial Rounded MT Bold"/>
        <family val="2"/>
      </rPr>
      <t>®</t>
    </r>
    <r>
      <rPr>
        <sz val="16"/>
        <color indexed="8"/>
        <rFont val="Arial Rounded MT Bold"/>
        <family val="2"/>
      </rPr>
      <t xml:space="preserve"> Early Years</t>
    </r>
  </si>
  <si>
    <t>OA, g</t>
  </si>
  <si>
    <t>OA 1 is a product of Mead Johnson &amp; Company, LLC and is not affiliated with Nutricia North America. https://www.enfamil.com/products/oa-1-metabolic-powder/. Accessed February 2023.</t>
  </si>
  <si>
    <r>
      <t xml:space="preserve">Step-by-Step Transition 
from Mead Johnson's OA 1 </t>
    </r>
    <r>
      <rPr>
        <sz val="16"/>
        <color indexed="8"/>
        <rFont val="Arial Rounded MT Bold"/>
        <family val="2"/>
      </rPr>
      <t xml:space="preserve">
to Nutricia's MMA/PA Anamix</t>
    </r>
    <r>
      <rPr>
        <vertAlign val="superscript"/>
        <sz val="16"/>
        <color indexed="8"/>
        <rFont val="Arial Rounded MT Bold"/>
        <family val="2"/>
      </rPr>
      <t>®</t>
    </r>
    <r>
      <rPr>
        <sz val="16"/>
        <color indexed="8"/>
        <rFont val="Arial Rounded MT Bold"/>
        <family val="2"/>
      </rPr>
      <t xml:space="preserve"> Next</t>
    </r>
  </si>
  <si>
    <t>OA2, g</t>
  </si>
  <si>
    <t xml:space="preserve">MMA/PA Anamix® Next is a medical food in the U.S. and a specialized formula in Canada for the dietary management of methylmalonic acidemia (MMA) and propionic acidemia (PA) in individuals over 1 year of age and must be used under medical supervision.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</si>
</sst>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font>
      <sz val="11"/>
      <color theme="1"/>
      <name val="Calibri"/>
      <family val="2"/>
      <scheme val="minor"/>
    </font>
    <font>
      <b/>
      <sz val="11"/>
      <color theme="1"/>
      <name val="Calibri"/>
      <family val="2"/>
      <scheme val="minor"/>
    </font>
    <font>
      <sz val="10"/>
      <name val="Arial"/>
      <family val="2"/>
    </font>
    <font>
      <b/>
      <sz val="18"/>
      <name val="Arial"/>
      <family val="2"/>
    </font>
    <font>
      <sz val="14"/>
      <name val="Arial"/>
      <family val="2"/>
    </font>
    <font>
      <b/>
      <i/>
      <sz val="10"/>
      <name val="Arial"/>
      <family val="2"/>
    </font>
    <font>
      <b/>
      <sz val="16"/>
      <name val="Arial"/>
      <family val="2"/>
    </font>
    <font>
      <sz val="8"/>
      <color theme="1"/>
      <name val="Calibri"/>
      <family val="2"/>
      <scheme val="minor"/>
    </font>
    <font>
      <i/>
      <sz val="11"/>
      <name val="Calibri"/>
      <family val="2"/>
      <scheme val="minor"/>
    </font>
    <font>
      <sz val="12"/>
      <color theme="1"/>
      <name val="Arial Rounded MT Bold"/>
      <family val="2"/>
    </font>
    <font>
      <sz val="12"/>
      <color indexed="8"/>
      <name val="Arial Rounded MT Bold"/>
      <family val="2"/>
    </font>
    <font>
      <sz val="11"/>
      <color rgb="FF7030A0"/>
      <name val="Calibri"/>
      <family val="2"/>
      <scheme val="minor"/>
    </font>
    <font>
      <sz val="14"/>
      <color theme="1"/>
      <name val="Calibri"/>
      <family val="2"/>
      <scheme val="minor"/>
    </font>
    <font>
      <i/>
      <u/>
      <sz val="14"/>
      <color theme="1"/>
      <name val="Arial Rounded MT Bold"/>
      <family val="2"/>
    </font>
    <font>
      <sz val="11"/>
      <name val="Calibri"/>
      <family val="2"/>
      <scheme val="minor"/>
    </font>
    <font>
      <b/>
      <sz val="11"/>
      <name val="Arial"/>
      <family val="2"/>
    </font>
    <font>
      <i/>
      <sz val="11"/>
      <color theme="1"/>
      <name val="Calibri"/>
      <family val="2"/>
      <scheme val="minor"/>
    </font>
    <font>
      <sz val="10"/>
      <color theme="1"/>
      <name val="Calibri"/>
      <family val="2"/>
      <scheme val="minor"/>
    </font>
    <font>
      <sz val="11"/>
      <color rgb="FF000000"/>
      <name val="Calibri"/>
      <family val="2"/>
      <scheme val="minor"/>
    </font>
    <font>
      <sz val="11"/>
      <color indexed="8"/>
      <name val="Calibri"/>
      <family val="2"/>
    </font>
    <font>
      <i/>
      <sz val="11"/>
      <color indexed="8"/>
      <name val="Calibri"/>
      <family val="2"/>
    </font>
    <font>
      <b/>
      <i/>
      <sz val="11"/>
      <color indexed="8"/>
      <name val="Calibri"/>
      <family val="2"/>
    </font>
    <font>
      <sz val="10"/>
      <name val="Calibri"/>
      <family val="2"/>
      <scheme val="minor"/>
    </font>
    <font>
      <b/>
      <sz val="10"/>
      <name val="Calibri"/>
      <family val="2"/>
      <scheme val="minor"/>
    </font>
    <font>
      <b/>
      <sz val="11"/>
      <name val="Calibri"/>
      <family val="2"/>
      <scheme val="minor"/>
    </font>
    <font>
      <b/>
      <sz val="12"/>
      <color rgb="FF00B050"/>
      <name val="Calibri"/>
      <family val="2"/>
      <scheme val="minor"/>
    </font>
    <font>
      <b/>
      <sz val="18"/>
      <name val="Calibri"/>
      <family val="2"/>
      <scheme val="minor"/>
    </font>
    <font>
      <sz val="16"/>
      <name val="Calibri"/>
      <family val="2"/>
      <scheme val="minor"/>
    </font>
    <font>
      <sz val="14"/>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b/>
      <i/>
      <sz val="11"/>
      <color indexed="8"/>
      <name val="Calibri"/>
      <family val="2"/>
      <scheme val="minor"/>
    </font>
    <font>
      <b/>
      <sz val="16"/>
      <name val="Calibri"/>
      <family val="2"/>
      <scheme val="minor"/>
    </font>
    <font>
      <b/>
      <sz val="12"/>
      <name val="Calibri"/>
      <family val="2"/>
      <scheme val="minor"/>
    </font>
    <font>
      <sz val="9"/>
      <name val="Calibri"/>
      <family val="2"/>
      <scheme val="minor"/>
    </font>
    <font>
      <b/>
      <sz val="20"/>
      <name val="Calibri"/>
      <family val="2"/>
      <scheme val="minor"/>
    </font>
    <font>
      <b/>
      <i/>
      <sz val="11"/>
      <name val="Calibri"/>
      <family val="2"/>
      <scheme val="minor"/>
    </font>
    <font>
      <sz val="12"/>
      <color indexed="8"/>
      <name val="Calibri"/>
      <family val="2"/>
      <scheme val="minor"/>
    </font>
    <font>
      <b/>
      <sz val="12"/>
      <color indexed="8"/>
      <name val="Calibri"/>
      <family val="2"/>
      <scheme val="minor"/>
    </font>
    <font>
      <b/>
      <sz val="12"/>
      <color theme="1"/>
      <name val="Calibri"/>
      <family val="2"/>
      <scheme val="minor"/>
    </font>
    <font>
      <b/>
      <i/>
      <sz val="11"/>
      <color theme="1"/>
      <name val="Calibri"/>
      <family val="2"/>
      <scheme val="minor"/>
    </font>
    <font>
      <i/>
      <sz val="12"/>
      <color indexed="8"/>
      <name val="Calibri"/>
      <family val="2"/>
      <scheme val="minor"/>
    </font>
    <font>
      <sz val="11"/>
      <color theme="1" tint="0.499984740745262"/>
      <name val="Calibri"/>
      <family val="2"/>
      <scheme val="minor"/>
    </font>
    <font>
      <b/>
      <sz val="11"/>
      <color indexed="17"/>
      <name val="Arial"/>
      <family val="2"/>
    </font>
    <font>
      <sz val="16"/>
      <color theme="1"/>
      <name val="Arial Rounded MT Bold"/>
      <family val="2"/>
    </font>
    <font>
      <vertAlign val="superscript"/>
      <sz val="16"/>
      <color indexed="8"/>
      <name val="Arial Rounded MT Bold"/>
      <family val="2"/>
    </font>
    <font>
      <sz val="16"/>
      <color indexed="8"/>
      <name val="Arial Rounded MT Bold"/>
      <family val="2"/>
    </font>
    <font>
      <sz val="8.5"/>
      <name val="Calibri"/>
      <family val="2"/>
      <scheme val="minor"/>
    </font>
    <font>
      <sz val="16"/>
      <color theme="1"/>
      <name val="Calibri"/>
      <family val="2"/>
    </font>
    <font>
      <b/>
      <sz val="18"/>
      <color rgb="FF000000"/>
      <name val="Arial Rounded MT Bold"/>
      <family val="2"/>
    </font>
    <font>
      <b/>
      <vertAlign val="superscript"/>
      <sz val="18"/>
      <color rgb="FF000000"/>
      <name val="Arial Rounded MT Bold"/>
      <family val="2"/>
    </font>
    <font>
      <sz val="12"/>
      <color theme="1"/>
      <name val="Calibri"/>
      <family val="2"/>
      <scheme val="minor"/>
    </font>
    <font>
      <sz val="8"/>
      <name val="Calibri"/>
      <family val="2"/>
      <scheme val="minor"/>
    </font>
    <font>
      <i/>
      <sz val="12"/>
      <name val="Calibri"/>
      <family val="2"/>
      <scheme val="minor"/>
    </font>
    <font>
      <u/>
      <sz val="11"/>
      <color theme="10"/>
      <name val="Calibri"/>
      <family val="2"/>
      <scheme val="minor"/>
    </font>
    <font>
      <i/>
      <sz val="10"/>
      <color theme="1"/>
      <name val="Calibri"/>
      <family val="2"/>
      <scheme val="minor"/>
    </font>
  </fonts>
  <fills count="2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22"/>
        <bgColor indexed="24"/>
      </patternFill>
    </fill>
    <fill>
      <patternFill patternType="solid">
        <fgColor indexed="22"/>
        <bgColor indexed="64"/>
      </patternFill>
    </fill>
    <fill>
      <patternFill patternType="solid">
        <fgColor indexed="9"/>
        <bgColor indexed="24"/>
      </patternFill>
    </fill>
    <fill>
      <patternFill patternType="solid">
        <fgColor indexed="9"/>
        <bgColor indexed="64"/>
      </patternFill>
    </fill>
    <fill>
      <patternFill patternType="solid">
        <fgColor theme="0"/>
        <bgColor indexed="2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0.249977111117893"/>
        <bgColor indexed="2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CE33"/>
        <bgColor indexed="64"/>
      </patternFill>
    </fill>
    <fill>
      <patternFill patternType="solid">
        <fgColor rgb="FFFFCE33"/>
        <bgColor indexed="24"/>
      </patternFill>
    </fill>
  </fills>
  <borders count="78">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top style="thin">
        <color indexed="64"/>
      </top>
      <bottom/>
      <diagonal/>
    </border>
    <border>
      <left/>
      <right style="thin">
        <color indexed="64"/>
      </right>
      <top style="thin">
        <color indexed="64"/>
      </top>
      <bottom/>
      <diagonal/>
    </border>
    <border>
      <left/>
      <right style="thick">
        <color indexed="64"/>
      </right>
      <top/>
      <bottom/>
      <diagonal/>
    </border>
    <border>
      <left style="thin">
        <color indexed="64"/>
      </left>
      <right/>
      <top/>
      <bottom/>
      <diagonal/>
    </border>
    <border>
      <left style="medium">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8"/>
      </top>
      <bottom style="thin">
        <color indexed="8"/>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s>
  <cellStyleXfs count="2">
    <xf numFmtId="0" fontId="0" fillId="0" borderId="0"/>
    <xf numFmtId="0" fontId="55" fillId="0" borderId="0" applyNumberFormat="0" applyFill="0" applyBorder="0" applyAlignment="0" applyProtection="0"/>
  </cellStyleXfs>
  <cellXfs count="392">
    <xf numFmtId="0" fontId="0" fillId="0" borderId="0" xfId="0"/>
    <xf numFmtId="0" fontId="6" fillId="3" borderId="8" xfId="0" applyFont="1" applyFill="1" applyBorder="1" applyAlignment="1" applyProtection="1">
      <alignment horizontal="center" vertical="center"/>
      <protection locked="0"/>
    </xf>
    <xf numFmtId="0" fontId="0" fillId="14" borderId="35" xfId="0" applyFill="1" applyBorder="1"/>
    <xf numFmtId="0" fontId="0" fillId="14" borderId="55" xfId="0" applyFill="1" applyBorder="1"/>
    <xf numFmtId="0" fontId="0" fillId="14" borderId="56" xfId="0" applyFill="1" applyBorder="1"/>
    <xf numFmtId="0" fontId="0" fillId="14" borderId="58" xfId="0" applyFill="1" applyBorder="1"/>
    <xf numFmtId="0" fontId="0" fillId="14" borderId="0" xfId="0" applyFill="1"/>
    <xf numFmtId="0" fontId="0" fillId="14" borderId="60" xfId="0" applyFill="1" applyBorder="1"/>
    <xf numFmtId="0" fontId="0" fillId="0" borderId="58" xfId="0" applyBorder="1"/>
    <xf numFmtId="0" fontId="0" fillId="0" borderId="60" xfId="0" applyBorder="1"/>
    <xf numFmtId="0" fontId="0" fillId="14" borderId="61" xfId="0" applyFill="1" applyBorder="1"/>
    <xf numFmtId="0" fontId="0" fillId="14" borderId="62" xfId="0" applyFill="1" applyBorder="1"/>
    <xf numFmtId="0" fontId="0" fillId="14" borderId="63" xfId="0" applyFill="1" applyBorder="1"/>
    <xf numFmtId="164" fontId="3" fillId="3" borderId="4"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23" fillId="2" borderId="8" xfId="0" applyFont="1" applyFill="1" applyBorder="1" applyAlignment="1">
      <alignment horizontal="center" vertical="center" wrapText="1"/>
    </xf>
    <xf numFmtId="164" fontId="26" fillId="3" borderId="8" xfId="0" applyNumberFormat="1" applyFont="1" applyFill="1" applyBorder="1" applyAlignment="1" applyProtection="1">
      <alignment horizontal="center" vertical="center"/>
      <protection locked="0"/>
    </xf>
    <xf numFmtId="0" fontId="24" fillId="19" borderId="8"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9" fillId="9" borderId="67" xfId="0" applyFont="1" applyFill="1" applyBorder="1" applyAlignment="1">
      <alignment horizontal="left"/>
    </xf>
    <xf numFmtId="164" fontId="30" fillId="9" borderId="68" xfId="0" applyNumberFormat="1" applyFont="1" applyFill="1" applyBorder="1"/>
    <xf numFmtId="0" fontId="31" fillId="9" borderId="68" xfId="0" applyFont="1" applyFill="1" applyBorder="1"/>
    <xf numFmtId="9" fontId="30" fillId="9" borderId="68" xfId="0" applyNumberFormat="1" applyFont="1" applyFill="1" applyBorder="1"/>
    <xf numFmtId="9" fontId="30" fillId="9" borderId="61" xfId="0" applyNumberFormat="1" applyFont="1" applyFill="1" applyBorder="1"/>
    <xf numFmtId="9" fontId="30" fillId="9" borderId="14" xfId="0" applyNumberFormat="1" applyFont="1" applyFill="1" applyBorder="1"/>
    <xf numFmtId="0" fontId="29" fillId="11" borderId="27" xfId="0" applyFont="1" applyFill="1" applyBorder="1" applyAlignment="1">
      <alignment horizontal="left"/>
    </xf>
    <xf numFmtId="164" fontId="30" fillId="11" borderId="19" xfId="0" applyNumberFormat="1" applyFont="1" applyFill="1" applyBorder="1"/>
    <xf numFmtId="0" fontId="31" fillId="11" borderId="19" xfId="0" applyFont="1" applyFill="1" applyBorder="1"/>
    <xf numFmtId="9" fontId="30" fillId="11" borderId="19" xfId="0" applyNumberFormat="1" applyFont="1" applyFill="1" applyBorder="1"/>
    <xf numFmtId="9" fontId="30" fillId="11" borderId="36" xfId="0" applyNumberFormat="1" applyFont="1" applyFill="1" applyBorder="1"/>
    <xf numFmtId="9" fontId="30" fillId="11" borderId="20" xfId="0" applyNumberFormat="1" applyFont="1" applyFill="1" applyBorder="1"/>
    <xf numFmtId="0" fontId="29" fillId="9" borderId="70" xfId="0" applyFont="1" applyFill="1" applyBorder="1" applyAlignment="1">
      <alignment horizontal="left"/>
    </xf>
    <xf numFmtId="164" fontId="30" fillId="9" borderId="71" xfId="0" applyNumberFormat="1" applyFont="1" applyFill="1" applyBorder="1"/>
    <xf numFmtId="0" fontId="31" fillId="9" borderId="71" xfId="0" applyFont="1" applyFill="1" applyBorder="1"/>
    <xf numFmtId="9" fontId="30" fillId="9" borderId="71" xfId="0" applyNumberFormat="1" applyFont="1" applyFill="1" applyBorder="1"/>
    <xf numFmtId="0" fontId="32" fillId="9" borderId="71" xfId="0" applyFont="1" applyFill="1" applyBorder="1"/>
    <xf numFmtId="9" fontId="30" fillId="11" borderId="74" xfId="0" applyNumberFormat="1" applyFont="1" applyFill="1" applyBorder="1"/>
    <xf numFmtId="0" fontId="29" fillId="9" borderId="27" xfId="0" applyFont="1" applyFill="1" applyBorder="1" applyAlignment="1">
      <alignment horizontal="left"/>
    </xf>
    <xf numFmtId="164" fontId="30" fillId="9" borderId="19" xfId="0" applyNumberFormat="1" applyFont="1" applyFill="1" applyBorder="1"/>
    <xf numFmtId="0" fontId="31" fillId="9" borderId="19" xfId="0" applyFont="1" applyFill="1" applyBorder="1"/>
    <xf numFmtId="9" fontId="30" fillId="9" borderId="19" xfId="0" applyNumberFormat="1" applyFont="1" applyFill="1" applyBorder="1"/>
    <xf numFmtId="9" fontId="30" fillId="9" borderId="74" xfId="0" applyNumberFormat="1" applyFont="1" applyFill="1" applyBorder="1"/>
    <xf numFmtId="9" fontId="30" fillId="9" borderId="20" xfId="0" applyNumberFormat="1" applyFont="1" applyFill="1" applyBorder="1"/>
    <xf numFmtId="164" fontId="30" fillId="0" borderId="19" xfId="0" applyNumberFormat="1" applyFont="1" applyBorder="1"/>
    <xf numFmtId="0" fontId="31" fillId="0" borderId="19" xfId="0" applyFont="1" applyBorder="1"/>
    <xf numFmtId="9" fontId="30" fillId="0" borderId="19" xfId="0" applyNumberFormat="1" applyFont="1" applyBorder="1"/>
    <xf numFmtId="9" fontId="30" fillId="0" borderId="74" xfId="0" applyNumberFormat="1" applyFont="1" applyBorder="1"/>
    <xf numFmtId="9" fontId="30" fillId="0" borderId="20" xfId="0" applyNumberFormat="1" applyFont="1" applyBorder="1"/>
    <xf numFmtId="0" fontId="29" fillId="13" borderId="27" xfId="0" applyFont="1" applyFill="1" applyBorder="1" applyAlignment="1">
      <alignment horizontal="left"/>
    </xf>
    <xf numFmtId="164" fontId="30" fillId="13" borderId="19" xfId="0" applyNumberFormat="1" applyFont="1" applyFill="1" applyBorder="1"/>
    <xf numFmtId="0" fontId="31" fillId="13" borderId="19" xfId="0" applyFont="1" applyFill="1" applyBorder="1"/>
    <xf numFmtId="9" fontId="30" fillId="13" borderId="19" xfId="0" applyNumberFormat="1" applyFont="1" applyFill="1" applyBorder="1"/>
    <xf numFmtId="9" fontId="30" fillId="13" borderId="74" xfId="0" applyNumberFormat="1" applyFont="1" applyFill="1" applyBorder="1"/>
    <xf numFmtId="9" fontId="30" fillId="13" borderId="20" xfId="0" applyNumberFormat="1" applyFont="1" applyFill="1" applyBorder="1"/>
    <xf numFmtId="164" fontId="30" fillId="21" borderId="19" xfId="0" applyNumberFormat="1" applyFont="1" applyFill="1" applyBorder="1"/>
    <xf numFmtId="0" fontId="31" fillId="21" borderId="19" xfId="0" applyFont="1" applyFill="1" applyBorder="1"/>
    <xf numFmtId="9" fontId="30" fillId="21" borderId="19" xfId="0" applyNumberFormat="1" applyFont="1" applyFill="1" applyBorder="1"/>
    <xf numFmtId="9" fontId="30" fillId="21" borderId="74" xfId="0" applyNumberFormat="1" applyFont="1" applyFill="1" applyBorder="1"/>
    <xf numFmtId="9" fontId="30" fillId="21" borderId="20" xfId="0" applyNumberFormat="1" applyFont="1" applyFill="1" applyBorder="1"/>
    <xf numFmtId="1" fontId="30" fillId="13" borderId="25" xfId="0" applyNumberFormat="1" applyFont="1" applyFill="1" applyBorder="1"/>
    <xf numFmtId="0" fontId="31" fillId="13" borderId="25" xfId="0" applyFont="1" applyFill="1" applyBorder="1"/>
    <xf numFmtId="9" fontId="30" fillId="13" borderId="25" xfId="0" applyNumberFormat="1" applyFont="1" applyFill="1" applyBorder="1"/>
    <xf numFmtId="9" fontId="30" fillId="13" borderId="55" xfId="0" applyNumberFormat="1" applyFont="1" applyFill="1" applyBorder="1"/>
    <xf numFmtId="0" fontId="29" fillId="20" borderId="19" xfId="0" applyFont="1" applyFill="1" applyBorder="1" applyAlignment="1">
      <alignment horizontal="left"/>
    </xf>
    <xf numFmtId="164" fontId="30" fillId="20" borderId="19" xfId="0" applyNumberFormat="1" applyFont="1" applyFill="1" applyBorder="1"/>
    <xf numFmtId="0" fontId="31" fillId="20" borderId="19" xfId="0" applyFont="1" applyFill="1" applyBorder="1"/>
    <xf numFmtId="9" fontId="30" fillId="20" borderId="19" xfId="0" applyNumberFormat="1" applyFont="1" applyFill="1" applyBorder="1"/>
    <xf numFmtId="9" fontId="30" fillId="20" borderId="20" xfId="0" applyNumberFormat="1" applyFont="1" applyFill="1" applyBorder="1"/>
    <xf numFmtId="164" fontId="30" fillId="14" borderId="25" xfId="0" applyNumberFormat="1" applyFont="1" applyFill="1" applyBorder="1"/>
    <xf numFmtId="0" fontId="31" fillId="14" borderId="25" xfId="0" applyFont="1" applyFill="1" applyBorder="1"/>
    <xf numFmtId="9" fontId="30" fillId="14" borderId="25" xfId="0" applyNumberFormat="1" applyFont="1" applyFill="1" applyBorder="1"/>
    <xf numFmtId="9" fontId="30" fillId="14" borderId="55" xfId="0" applyNumberFormat="1" applyFont="1" applyFill="1" applyBorder="1"/>
    <xf numFmtId="0" fontId="24" fillId="19" borderId="4" xfId="0" applyFont="1" applyFill="1" applyBorder="1" applyAlignment="1">
      <alignment horizontal="center" vertical="center" wrapText="1"/>
    </xf>
    <xf numFmtId="0" fontId="24" fillId="6" borderId="5" xfId="0" applyFont="1" applyFill="1" applyBorder="1" applyAlignment="1">
      <alignment horizontal="center" vertical="center" wrapText="1"/>
    </xf>
    <xf numFmtId="9" fontId="30" fillId="9" borderId="62" xfId="0" applyNumberFormat="1" applyFont="1" applyFill="1" applyBorder="1"/>
    <xf numFmtId="2" fontId="30" fillId="9" borderId="19" xfId="0" applyNumberFormat="1" applyFont="1" applyFill="1" applyBorder="1"/>
    <xf numFmtId="2" fontId="30" fillId="11" borderId="19" xfId="0" applyNumberFormat="1" applyFont="1" applyFill="1" applyBorder="1"/>
    <xf numFmtId="0" fontId="29" fillId="9" borderId="72" xfId="0" applyFont="1" applyFill="1" applyBorder="1" applyAlignment="1">
      <alignment horizontal="left"/>
    </xf>
    <xf numFmtId="164" fontId="30" fillId="9" borderId="56" xfId="0" applyNumberFormat="1" applyFont="1" applyFill="1" applyBorder="1"/>
    <xf numFmtId="0" fontId="31" fillId="9" borderId="25" xfId="0" applyFont="1" applyFill="1" applyBorder="1" applyAlignment="1">
      <alignment horizontal="right"/>
    </xf>
    <xf numFmtId="0" fontId="30" fillId="9" borderId="25" xfId="0" applyFont="1" applyFill="1" applyBorder="1"/>
    <xf numFmtId="0" fontId="30" fillId="9" borderId="55" xfId="0" applyFont="1" applyFill="1" applyBorder="1"/>
    <xf numFmtId="0" fontId="30" fillId="9" borderId="30" xfId="0" applyFont="1" applyFill="1" applyBorder="1"/>
    <xf numFmtId="164" fontId="30" fillId="10" borderId="68" xfId="0" applyNumberFormat="1" applyFont="1" applyFill="1" applyBorder="1"/>
    <xf numFmtId="0" fontId="31" fillId="10" borderId="68" xfId="0" applyFont="1" applyFill="1" applyBorder="1"/>
    <xf numFmtId="9" fontId="30" fillId="10" borderId="68" xfId="0" applyNumberFormat="1" applyFont="1" applyFill="1" applyBorder="1"/>
    <xf numFmtId="9" fontId="30" fillId="10" borderId="62" xfId="0" applyNumberFormat="1" applyFont="1" applyFill="1" applyBorder="1"/>
    <xf numFmtId="9" fontId="30" fillId="10" borderId="14" xfId="0" applyNumberFormat="1" applyFont="1" applyFill="1" applyBorder="1"/>
    <xf numFmtId="164" fontId="30" fillId="10" borderId="19" xfId="0" applyNumberFormat="1" applyFont="1" applyFill="1" applyBorder="1"/>
    <xf numFmtId="0" fontId="31" fillId="10" borderId="19" xfId="0" applyFont="1" applyFill="1" applyBorder="1"/>
    <xf numFmtId="9" fontId="30" fillId="10" borderId="19" xfId="0" applyNumberFormat="1" applyFont="1" applyFill="1" applyBorder="1"/>
    <xf numFmtId="9" fontId="30" fillId="10" borderId="74" xfId="0" applyNumberFormat="1" applyFont="1" applyFill="1" applyBorder="1"/>
    <xf numFmtId="9" fontId="30" fillId="10" borderId="20" xfId="0" applyNumberFormat="1" applyFont="1" applyFill="1" applyBorder="1"/>
    <xf numFmtId="0" fontId="32" fillId="0" borderId="19" xfId="0" applyFont="1" applyBorder="1"/>
    <xf numFmtId="0" fontId="32" fillId="10" borderId="19" xfId="0" applyFont="1" applyFill="1" applyBorder="1"/>
    <xf numFmtId="2" fontId="30" fillId="0" borderId="19" xfId="0" applyNumberFormat="1" applyFont="1" applyBorder="1"/>
    <xf numFmtId="0" fontId="31" fillId="0" borderId="19" xfId="0" applyFont="1" applyBorder="1" applyAlignment="1">
      <alignment horizontal="right"/>
    </xf>
    <xf numFmtId="0" fontId="31" fillId="10" borderId="19" xfId="0" applyFont="1" applyFill="1" applyBorder="1" applyAlignment="1">
      <alignment horizontal="right"/>
    </xf>
    <xf numFmtId="0" fontId="29" fillId="11" borderId="28" xfId="0" applyFont="1" applyFill="1" applyBorder="1" applyAlignment="1">
      <alignment horizontal="left"/>
    </xf>
    <xf numFmtId="164" fontId="30" fillId="0" borderId="29" xfId="0" applyNumberFormat="1" applyFont="1" applyBorder="1"/>
    <xf numFmtId="0" fontId="31" fillId="0" borderId="29" xfId="0" applyFont="1" applyBorder="1" applyAlignment="1">
      <alignment horizontal="right"/>
    </xf>
    <xf numFmtId="9" fontId="30" fillId="0" borderId="29" xfId="0" applyNumberFormat="1" applyFont="1" applyBorder="1"/>
    <xf numFmtId="9" fontId="30" fillId="0" borderId="75" xfId="0" applyNumberFormat="1" applyFont="1" applyBorder="1"/>
    <xf numFmtId="9" fontId="30" fillId="0" borderId="30" xfId="0" applyNumberFormat="1" applyFont="1" applyBorder="1"/>
    <xf numFmtId="9" fontId="30" fillId="9" borderId="69" xfId="0" applyNumberFormat="1" applyFont="1" applyFill="1" applyBorder="1"/>
    <xf numFmtId="0" fontId="29" fillId="0" borderId="67" xfId="0" applyFont="1" applyBorder="1" applyAlignment="1">
      <alignment horizontal="left"/>
    </xf>
    <xf numFmtId="164" fontId="30" fillId="0" borderId="68" xfId="0" applyNumberFormat="1" applyFont="1" applyBorder="1"/>
    <xf numFmtId="0" fontId="31" fillId="0" borderId="68" xfId="0" applyFont="1" applyBorder="1"/>
    <xf numFmtId="9" fontId="30" fillId="0" borderId="68" xfId="0" applyNumberFormat="1" applyFont="1" applyBorder="1"/>
    <xf numFmtId="9" fontId="30" fillId="0" borderId="61" xfId="0" applyNumberFormat="1" applyFont="1" applyBorder="1"/>
    <xf numFmtId="9" fontId="30" fillId="0" borderId="14" xfId="0" applyNumberFormat="1" applyFont="1" applyBorder="1"/>
    <xf numFmtId="0" fontId="30" fillId="9" borderId="27" xfId="0" applyFont="1" applyFill="1" applyBorder="1" applyAlignment="1">
      <alignment horizontal="left"/>
    </xf>
    <xf numFmtId="0" fontId="30" fillId="0" borderId="27" xfId="0" applyFont="1" applyBorder="1" applyAlignment="1">
      <alignment horizontal="left"/>
    </xf>
    <xf numFmtId="0" fontId="30" fillId="13" borderId="27" xfId="0" applyFont="1" applyFill="1" applyBorder="1" applyAlignment="1">
      <alignment horizontal="left"/>
    </xf>
    <xf numFmtId="0" fontId="30" fillId="21" borderId="27" xfId="0" applyFont="1" applyFill="1" applyBorder="1" applyAlignment="1">
      <alignment horizontal="left"/>
    </xf>
    <xf numFmtId="0" fontId="30" fillId="13" borderId="72" xfId="0" applyFont="1" applyFill="1" applyBorder="1" applyAlignment="1">
      <alignment horizontal="left"/>
    </xf>
    <xf numFmtId="0" fontId="30" fillId="14" borderId="72" xfId="0" applyFont="1" applyFill="1" applyBorder="1" applyAlignment="1">
      <alignment horizontal="left"/>
    </xf>
    <xf numFmtId="164" fontId="31" fillId="9" borderId="68" xfId="0" applyNumberFormat="1" applyFont="1" applyFill="1" applyBorder="1"/>
    <xf numFmtId="164" fontId="31" fillId="11" borderId="19" xfId="0" applyNumberFormat="1" applyFont="1" applyFill="1" applyBorder="1"/>
    <xf numFmtId="164" fontId="31" fillId="9" borderId="19" xfId="0" applyNumberFormat="1" applyFont="1" applyFill="1" applyBorder="1"/>
    <xf numFmtId="164" fontId="31" fillId="9" borderId="25" xfId="0" applyNumberFormat="1" applyFont="1" applyFill="1" applyBorder="1"/>
    <xf numFmtId="164" fontId="31" fillId="0" borderId="68" xfId="0" applyNumberFormat="1" applyFont="1" applyBorder="1"/>
    <xf numFmtId="164" fontId="32" fillId="9" borderId="19" xfId="0" applyNumberFormat="1" applyFont="1" applyFill="1" applyBorder="1"/>
    <xf numFmtId="164" fontId="31" fillId="0" borderId="19" xfId="0" applyNumberFormat="1" applyFont="1" applyBorder="1"/>
    <xf numFmtId="164" fontId="31" fillId="13" borderId="19" xfId="0" applyNumberFormat="1" applyFont="1" applyFill="1" applyBorder="1"/>
    <xf numFmtId="164" fontId="31" fillId="21" borderId="19" xfId="0" applyNumberFormat="1" applyFont="1" applyFill="1" applyBorder="1"/>
    <xf numFmtId="9" fontId="30" fillId="9" borderId="0" xfId="0" applyNumberFormat="1" applyFont="1" applyFill="1"/>
    <xf numFmtId="1" fontId="32" fillId="20" borderId="19" xfId="0" applyNumberFormat="1" applyFont="1" applyFill="1" applyBorder="1"/>
    <xf numFmtId="1" fontId="31" fillId="13" borderId="19" xfId="0" applyNumberFormat="1" applyFont="1" applyFill="1" applyBorder="1"/>
    <xf numFmtId="1" fontId="32" fillId="9" borderId="19" xfId="0" applyNumberFormat="1" applyFont="1" applyFill="1" applyBorder="1"/>
    <xf numFmtId="1" fontId="32" fillId="9" borderId="68" xfId="0" applyNumberFormat="1" applyFont="1" applyFill="1" applyBorder="1"/>
    <xf numFmtId="164" fontId="32" fillId="11" borderId="19" xfId="0" applyNumberFormat="1" applyFont="1" applyFill="1" applyBorder="1"/>
    <xf numFmtId="1" fontId="32" fillId="11" borderId="19" xfId="0" applyNumberFormat="1" applyFont="1" applyFill="1" applyBorder="1"/>
    <xf numFmtId="1" fontId="31" fillId="11" borderId="19" xfId="0" applyNumberFormat="1" applyFont="1" applyFill="1" applyBorder="1"/>
    <xf numFmtId="1" fontId="31" fillId="9" borderId="19" xfId="0" applyNumberFormat="1" applyFont="1" applyFill="1" applyBorder="1"/>
    <xf numFmtId="1" fontId="31" fillId="0" borderId="19" xfId="0" applyNumberFormat="1" applyFont="1" applyBorder="1"/>
    <xf numFmtId="1" fontId="31" fillId="10" borderId="19" xfId="0" applyNumberFormat="1" applyFont="1" applyFill="1" applyBorder="1"/>
    <xf numFmtId="1" fontId="32" fillId="0" borderId="19" xfId="0" applyNumberFormat="1" applyFont="1" applyBorder="1"/>
    <xf numFmtId="1" fontId="32" fillId="10" borderId="19" xfId="0" applyNumberFormat="1" applyFont="1" applyFill="1" applyBorder="1"/>
    <xf numFmtId="1" fontId="31" fillId="0" borderId="29" xfId="0" applyNumberFormat="1" applyFont="1" applyBorder="1"/>
    <xf numFmtId="1" fontId="32" fillId="10" borderId="68" xfId="0" applyNumberFormat="1" applyFont="1" applyFill="1" applyBorder="1"/>
    <xf numFmtId="0" fontId="24" fillId="5" borderId="4" xfId="0" applyFont="1" applyFill="1" applyBorder="1" applyAlignment="1">
      <alignment horizontal="center" vertical="center" wrapText="1"/>
    </xf>
    <xf numFmtId="0" fontId="24" fillId="5" borderId="47" xfId="0" applyFont="1" applyFill="1" applyBorder="1" applyAlignment="1">
      <alignment horizontal="center" vertical="center" wrapText="1"/>
    </xf>
    <xf numFmtId="0" fontId="24" fillId="5" borderId="48" xfId="0" applyFont="1" applyFill="1" applyBorder="1" applyAlignment="1">
      <alignment horizontal="center" vertical="center" wrapText="1"/>
    </xf>
    <xf numFmtId="0" fontId="0" fillId="0" borderId="13" xfId="0" applyBorder="1"/>
    <xf numFmtId="0" fontId="0" fillId="0" borderId="19" xfId="0" applyBorder="1"/>
    <xf numFmtId="9" fontId="0" fillId="12" borderId="25" xfId="0" applyNumberFormat="1" applyFill="1" applyBorder="1"/>
    <xf numFmtId="0" fontId="0" fillId="0" borderId="14" xfId="0" applyBorder="1"/>
    <xf numFmtId="0" fontId="0" fillId="0" borderId="20" xfId="0" applyBorder="1"/>
    <xf numFmtId="0" fontId="0" fillId="0" borderId="68" xfId="0" applyBorder="1"/>
    <xf numFmtId="0" fontId="0" fillId="0" borderId="69" xfId="0" applyBorder="1"/>
    <xf numFmtId="1" fontId="31" fillId="14" borderId="25" xfId="0" applyNumberFormat="1" applyFont="1" applyFill="1" applyBorder="1"/>
    <xf numFmtId="0" fontId="0" fillId="12" borderId="25" xfId="0" applyFill="1" applyBorder="1"/>
    <xf numFmtId="0" fontId="16" fillId="0" borderId="13" xfId="0" applyFont="1" applyBorder="1"/>
    <xf numFmtId="0" fontId="16" fillId="0" borderId="68" xfId="0" applyFont="1" applyBorder="1"/>
    <xf numFmtId="0" fontId="16" fillId="0" borderId="19" xfId="0" applyFont="1" applyBorder="1"/>
    <xf numFmtId="0" fontId="16" fillId="12" borderId="25" xfId="0" applyFont="1" applyFill="1" applyBorder="1"/>
    <xf numFmtId="0" fontId="16" fillId="12" borderId="19" xfId="0" applyFont="1" applyFill="1" applyBorder="1"/>
    <xf numFmtId="9" fontId="0" fillId="0" borderId="19" xfId="0" applyNumberFormat="1" applyBorder="1"/>
    <xf numFmtId="9" fontId="0" fillId="10" borderId="19" xfId="0" applyNumberFormat="1" applyFill="1" applyBorder="1"/>
    <xf numFmtId="0" fontId="0" fillId="10" borderId="29" xfId="0" applyFill="1" applyBorder="1"/>
    <xf numFmtId="9" fontId="0" fillId="0" borderId="20" xfId="0" applyNumberFormat="1" applyBorder="1"/>
    <xf numFmtId="9" fontId="0" fillId="10" borderId="20" xfId="0" applyNumberFormat="1" applyFill="1" applyBorder="1"/>
    <xf numFmtId="0" fontId="0" fillId="10" borderId="30" xfId="0" applyFill="1" applyBorder="1"/>
    <xf numFmtId="0" fontId="31" fillId="0" borderId="11" xfId="0" applyFont="1" applyBorder="1"/>
    <xf numFmtId="10" fontId="30" fillId="0" borderId="11" xfId="0" applyNumberFormat="1" applyFont="1" applyBorder="1"/>
    <xf numFmtId="9" fontId="30" fillId="0" borderId="12" xfId="0" applyNumberFormat="1" applyFont="1" applyBorder="1"/>
    <xf numFmtId="0" fontId="30" fillId="9" borderId="31" xfId="0" applyFont="1" applyFill="1" applyBorder="1" applyAlignment="1">
      <alignment horizontal="left"/>
    </xf>
    <xf numFmtId="164" fontId="30" fillId="9" borderId="32" xfId="0" applyNumberFormat="1" applyFont="1" applyFill="1" applyBorder="1"/>
    <xf numFmtId="0" fontId="31" fillId="0" borderId="33" xfId="0" applyFont="1" applyBorder="1"/>
    <xf numFmtId="10" fontId="30" fillId="0" borderId="33" xfId="0" applyNumberFormat="1" applyFont="1" applyBorder="1"/>
    <xf numFmtId="9" fontId="30" fillId="0" borderId="34" xfId="0" applyNumberFormat="1" applyFont="1" applyBorder="1"/>
    <xf numFmtId="0" fontId="29" fillId="11" borderId="15" xfId="0" applyFont="1" applyFill="1" applyBorder="1" applyAlignment="1">
      <alignment horizontal="left"/>
    </xf>
    <xf numFmtId="164" fontId="30" fillId="11" borderId="16" xfId="0" applyNumberFormat="1" applyFont="1" applyFill="1" applyBorder="1"/>
    <xf numFmtId="0" fontId="31" fillId="11" borderId="17" xfId="0" applyFont="1" applyFill="1" applyBorder="1"/>
    <xf numFmtId="10" fontId="30" fillId="11" borderId="17" xfId="0" applyNumberFormat="1" applyFont="1" applyFill="1" applyBorder="1"/>
    <xf numFmtId="9" fontId="30" fillId="11" borderId="18" xfId="0" applyNumberFormat="1" applyFont="1" applyFill="1" applyBorder="1"/>
    <xf numFmtId="0" fontId="29" fillId="9" borderId="15" xfId="0" applyFont="1" applyFill="1" applyBorder="1" applyAlignment="1">
      <alignment horizontal="left"/>
    </xf>
    <xf numFmtId="164" fontId="30" fillId="9" borderId="16" xfId="0" applyNumberFormat="1" applyFont="1" applyFill="1" applyBorder="1"/>
    <xf numFmtId="0" fontId="32" fillId="9" borderId="17" xfId="0" applyFont="1" applyFill="1" applyBorder="1"/>
    <xf numFmtId="9" fontId="30" fillId="9" borderId="17" xfId="0" applyNumberFormat="1" applyFont="1" applyFill="1" applyBorder="1"/>
    <xf numFmtId="9" fontId="30" fillId="9" borderId="18" xfId="0" applyNumberFormat="1" applyFont="1" applyFill="1" applyBorder="1"/>
    <xf numFmtId="0" fontId="37" fillId="10" borderId="19" xfId="0" applyFont="1" applyFill="1" applyBorder="1"/>
    <xf numFmtId="9" fontId="14" fillId="10" borderId="19" xfId="0" applyNumberFormat="1" applyFont="1" applyFill="1" applyBorder="1"/>
    <xf numFmtId="9" fontId="14" fillId="10" borderId="20" xfId="0" applyNumberFormat="1" applyFont="1" applyFill="1" applyBorder="1"/>
    <xf numFmtId="0" fontId="29" fillId="11" borderId="21" xfId="0" applyFont="1" applyFill="1" applyBorder="1" applyAlignment="1">
      <alignment horizontal="left"/>
    </xf>
    <xf numFmtId="164" fontId="30" fillId="11" borderId="22" xfId="0" applyNumberFormat="1" applyFont="1" applyFill="1" applyBorder="1"/>
    <xf numFmtId="0" fontId="31" fillId="11" borderId="23" xfId="0" applyFont="1" applyFill="1" applyBorder="1"/>
    <xf numFmtId="9" fontId="30" fillId="11" borderId="23" xfId="0" applyNumberFormat="1" applyFont="1" applyFill="1" applyBorder="1"/>
    <xf numFmtId="9" fontId="30" fillId="11" borderId="24" xfId="0" applyNumberFormat="1" applyFont="1" applyFill="1" applyBorder="1"/>
    <xf numFmtId="9" fontId="14" fillId="12" borderId="26" xfId="0" applyNumberFormat="1" applyFont="1" applyFill="1" applyBorder="1"/>
    <xf numFmtId="0" fontId="32" fillId="9" borderId="19" xfId="0" applyFont="1" applyFill="1" applyBorder="1"/>
    <xf numFmtId="0" fontId="8" fillId="14" borderId="19" xfId="0" applyFont="1" applyFill="1" applyBorder="1"/>
    <xf numFmtId="9" fontId="14" fillId="14" borderId="19" xfId="0" applyNumberFormat="1" applyFont="1" applyFill="1" applyBorder="1"/>
    <xf numFmtId="9" fontId="14" fillId="14" borderId="20" xfId="0" applyNumberFormat="1" applyFont="1" applyFill="1" applyBorder="1"/>
    <xf numFmtId="0" fontId="24" fillId="14" borderId="19" xfId="0" applyFont="1" applyFill="1" applyBorder="1"/>
    <xf numFmtId="0" fontId="29" fillId="13" borderId="28" xfId="0" applyFont="1" applyFill="1" applyBorder="1" applyAlignment="1">
      <alignment horizontal="left"/>
    </xf>
    <xf numFmtId="0" fontId="31" fillId="13" borderId="29" xfId="0" applyFont="1" applyFill="1" applyBorder="1"/>
    <xf numFmtId="9" fontId="30" fillId="13" borderId="29" xfId="0" applyNumberFormat="1" applyFont="1" applyFill="1" applyBorder="1"/>
    <xf numFmtId="0" fontId="8" fillId="14" borderId="29" xfId="0" applyFont="1" applyFill="1" applyBorder="1"/>
    <xf numFmtId="9" fontId="14" fillId="14" borderId="29" xfId="0" applyNumberFormat="1" applyFont="1" applyFill="1" applyBorder="1"/>
    <xf numFmtId="0" fontId="24" fillId="14" borderId="29" xfId="0" applyFont="1" applyFill="1" applyBorder="1"/>
    <xf numFmtId="9" fontId="14" fillId="14" borderId="30" xfId="0" applyNumberFormat="1" applyFont="1" applyFill="1" applyBorder="1"/>
    <xf numFmtId="0" fontId="29" fillId="9" borderId="31" xfId="0" applyFont="1" applyFill="1" applyBorder="1" applyAlignment="1">
      <alignment horizontal="left"/>
    </xf>
    <xf numFmtId="9" fontId="30" fillId="9" borderId="33" xfId="0" applyNumberFormat="1" applyFont="1" applyFill="1" applyBorder="1"/>
    <xf numFmtId="9" fontId="30" fillId="9" borderId="34" xfId="0" applyNumberFormat="1" applyFont="1" applyFill="1" applyBorder="1"/>
    <xf numFmtId="9" fontId="14" fillId="10" borderId="13" xfId="0" applyNumberFormat="1" applyFont="1" applyFill="1" applyBorder="1"/>
    <xf numFmtId="9" fontId="14" fillId="10" borderId="14" xfId="0" applyNumberFormat="1" applyFont="1" applyFill="1" applyBorder="1"/>
    <xf numFmtId="9" fontId="30" fillId="11" borderId="17" xfId="0" applyNumberFormat="1" applyFont="1" applyFill="1" applyBorder="1"/>
    <xf numFmtId="2" fontId="30" fillId="9" borderId="16" xfId="0" applyNumberFormat="1" applyFont="1" applyFill="1" applyBorder="1"/>
    <xf numFmtId="2" fontId="30" fillId="11" borderId="16" xfId="0" applyNumberFormat="1" applyFont="1" applyFill="1" applyBorder="1"/>
    <xf numFmtId="9" fontId="14" fillId="0" borderId="19" xfId="0" applyNumberFormat="1" applyFont="1" applyBorder="1"/>
    <xf numFmtId="9" fontId="14" fillId="0" borderId="20" xfId="0" applyNumberFormat="1" applyFont="1" applyBorder="1"/>
    <xf numFmtId="0" fontId="29" fillId="9" borderId="21" xfId="0" applyFont="1" applyFill="1" applyBorder="1" applyAlignment="1">
      <alignment horizontal="left"/>
    </xf>
    <xf numFmtId="164" fontId="30" fillId="9" borderId="24" xfId="0" applyNumberFormat="1" applyFont="1" applyFill="1" applyBorder="1"/>
    <xf numFmtId="9" fontId="30" fillId="9" borderId="25" xfId="0" applyNumberFormat="1" applyFont="1" applyFill="1" applyBorder="1" applyAlignment="1">
      <alignment horizontal="right"/>
    </xf>
    <xf numFmtId="9" fontId="30" fillId="9" borderId="35" xfId="0" applyNumberFormat="1" applyFont="1" applyFill="1" applyBorder="1" applyAlignment="1">
      <alignment horizontal="right"/>
    </xf>
    <xf numFmtId="9" fontId="0" fillId="10" borderId="13" xfId="0" applyNumberFormat="1" applyFill="1" applyBorder="1"/>
    <xf numFmtId="9" fontId="0" fillId="10" borderId="14" xfId="0" applyNumberFormat="1" applyFill="1" applyBorder="1"/>
    <xf numFmtId="9" fontId="0" fillId="0" borderId="29" xfId="0" applyNumberFormat="1" applyBorder="1"/>
    <xf numFmtId="9" fontId="0" fillId="0" borderId="30" xfId="0" applyNumberFormat="1" applyBorder="1"/>
    <xf numFmtId="9" fontId="30" fillId="11" borderId="19" xfId="0" applyNumberFormat="1" applyFont="1" applyFill="1" applyBorder="1" applyAlignment="1">
      <alignment horizontal="right"/>
    </xf>
    <xf numFmtId="9" fontId="30" fillId="11" borderId="36" xfId="0" applyNumberFormat="1" applyFont="1" applyFill="1" applyBorder="1" applyAlignment="1">
      <alignment horizontal="right"/>
    </xf>
    <xf numFmtId="0" fontId="29" fillId="11" borderId="37" xfId="0" applyFont="1" applyFill="1" applyBorder="1" applyAlignment="1">
      <alignment horizontal="left"/>
    </xf>
    <xf numFmtId="9" fontId="30" fillId="11" borderId="29" xfId="0" applyNumberFormat="1" applyFont="1" applyFill="1" applyBorder="1" applyAlignment="1">
      <alignment horizontal="right"/>
    </xf>
    <xf numFmtId="9" fontId="30" fillId="11" borderId="40" xfId="0" applyNumberFormat="1" applyFont="1" applyFill="1" applyBorder="1" applyAlignment="1">
      <alignment horizontal="right"/>
    </xf>
    <xf numFmtId="0" fontId="32" fillId="9" borderId="33" xfId="0" applyFont="1" applyFill="1" applyBorder="1"/>
    <xf numFmtId="0" fontId="32" fillId="11" borderId="17" xfId="0" applyFont="1" applyFill="1" applyBorder="1"/>
    <xf numFmtId="0" fontId="31" fillId="9" borderId="17" xfId="0" applyFont="1" applyFill="1" applyBorder="1"/>
    <xf numFmtId="1" fontId="37" fillId="10" borderId="13" xfId="0" applyNumberFormat="1" applyFont="1" applyFill="1" applyBorder="1"/>
    <xf numFmtId="1" fontId="41" fillId="0" borderId="19" xfId="0" applyNumberFormat="1" applyFont="1" applyBorder="1"/>
    <xf numFmtId="1" fontId="37" fillId="10" borderId="19" xfId="0" applyNumberFormat="1" applyFont="1" applyFill="1" applyBorder="1"/>
    <xf numFmtId="1" fontId="16" fillId="0" borderId="19" xfId="0" applyNumberFormat="1" applyFont="1" applyBorder="1"/>
    <xf numFmtId="164" fontId="37" fillId="10" borderId="19" xfId="0" applyNumberFormat="1" applyFont="1" applyFill="1" applyBorder="1"/>
    <xf numFmtId="164" fontId="37" fillId="0" borderId="19" xfId="0" applyNumberFormat="1" applyFont="1" applyBorder="1"/>
    <xf numFmtId="1" fontId="37" fillId="0" borderId="19" xfId="0" applyNumberFormat="1" applyFont="1" applyBorder="1"/>
    <xf numFmtId="1" fontId="16" fillId="10" borderId="19" xfId="0" applyNumberFormat="1" applyFont="1" applyFill="1" applyBorder="1"/>
    <xf numFmtId="164" fontId="16" fillId="10" borderId="29" xfId="0" applyNumberFormat="1" applyFont="1" applyFill="1" applyBorder="1" applyAlignment="1">
      <alignment horizontal="right"/>
    </xf>
    <xf numFmtId="0" fontId="31" fillId="9" borderId="29" xfId="0" applyFont="1" applyFill="1" applyBorder="1" applyAlignment="1">
      <alignment horizontal="right"/>
    </xf>
    <xf numFmtId="9" fontId="30" fillId="9" borderId="29" xfId="0" applyNumberFormat="1" applyFont="1" applyFill="1" applyBorder="1" applyAlignment="1">
      <alignment horizontal="right"/>
    </xf>
    <xf numFmtId="9" fontId="30" fillId="9" borderId="40" xfId="0" applyNumberFormat="1" applyFont="1" applyFill="1" applyBorder="1" applyAlignment="1">
      <alignment horizontal="right"/>
    </xf>
    <xf numFmtId="9" fontId="30" fillId="9" borderId="23" xfId="0" applyNumberFormat="1" applyFont="1" applyFill="1" applyBorder="1"/>
    <xf numFmtId="9" fontId="30" fillId="9" borderId="24" xfId="0" applyNumberFormat="1" applyFont="1" applyFill="1" applyBorder="1"/>
    <xf numFmtId="0" fontId="32" fillId="9" borderId="23" xfId="0" applyFont="1" applyFill="1" applyBorder="1"/>
    <xf numFmtId="0" fontId="31" fillId="11" borderId="17" xfId="0" applyFont="1" applyFill="1" applyBorder="1" applyAlignment="1">
      <alignment horizontal="right"/>
    </xf>
    <xf numFmtId="0" fontId="31" fillId="9" borderId="23" xfId="0" applyFont="1" applyFill="1" applyBorder="1" applyAlignment="1">
      <alignment horizontal="right"/>
    </xf>
    <xf numFmtId="0" fontId="31" fillId="11" borderId="39" xfId="0" applyFont="1" applyFill="1" applyBorder="1" applyAlignment="1">
      <alignment horizontal="right"/>
    </xf>
    <xf numFmtId="1" fontId="41" fillId="10" borderId="13" xfId="0" applyNumberFormat="1" applyFont="1" applyFill="1" applyBorder="1"/>
    <xf numFmtId="164" fontId="16" fillId="0" borderId="19" xfId="0" applyNumberFormat="1" applyFont="1" applyBorder="1"/>
    <xf numFmtId="1" fontId="16" fillId="0" borderId="29" xfId="0" applyNumberFormat="1" applyFont="1" applyBorder="1"/>
    <xf numFmtId="164" fontId="30" fillId="13" borderId="29" xfId="0" applyNumberFormat="1" applyFont="1" applyFill="1" applyBorder="1"/>
    <xf numFmtId="1" fontId="30" fillId="9" borderId="32" xfId="0" applyNumberFormat="1" applyFont="1" applyFill="1" applyBorder="1"/>
    <xf numFmtId="1" fontId="30" fillId="11" borderId="16" xfId="0" applyNumberFormat="1" applyFont="1" applyFill="1" applyBorder="1"/>
    <xf numFmtId="1" fontId="30" fillId="9" borderId="16" xfId="0" applyNumberFormat="1" applyFont="1" applyFill="1" applyBorder="1"/>
    <xf numFmtId="1" fontId="30" fillId="9" borderId="22" xfId="0" applyNumberFormat="1" applyFont="1" applyFill="1" applyBorder="1"/>
    <xf numFmtId="1" fontId="30" fillId="11" borderId="38" xfId="0" applyNumberFormat="1" applyFont="1" applyFill="1" applyBorder="1"/>
    <xf numFmtId="0" fontId="18" fillId="0" borderId="0" xfId="0" applyFont="1" applyAlignment="1">
      <alignment horizontal="left" vertical="center"/>
    </xf>
    <xf numFmtId="0" fontId="0" fillId="0" borderId="6" xfId="0" applyBorder="1"/>
    <xf numFmtId="0" fontId="0" fillId="0" borderId="7" xfId="0" applyBorder="1"/>
    <xf numFmtId="0" fontId="18" fillId="11" borderId="43" xfId="0" applyFont="1" applyFill="1" applyBorder="1"/>
    <xf numFmtId="0" fontId="0" fillId="0" borderId="0" xfId="0" applyAlignment="1">
      <alignment horizontal="center"/>
    </xf>
    <xf numFmtId="0" fontId="16" fillId="0" borderId="0" xfId="0" applyFont="1"/>
    <xf numFmtId="0" fontId="2" fillId="0" borderId="1" xfId="0" applyFont="1" applyBorder="1"/>
    <xf numFmtId="0" fontId="2" fillId="0" borderId="2" xfId="0" applyFont="1" applyBorder="1"/>
    <xf numFmtId="0" fontId="0" fillId="0" borderId="2" xfId="0" applyBorder="1"/>
    <xf numFmtId="0" fontId="0" fillId="0" borderId="3" xfId="0" applyBorder="1"/>
    <xf numFmtId="0" fontId="23" fillId="2" borderId="4"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9" fillId="11" borderId="73" xfId="0" applyFont="1" applyFill="1" applyBorder="1" applyAlignment="1">
      <alignment horizontal="left"/>
    </xf>
    <xf numFmtId="0" fontId="24" fillId="7" borderId="8"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0" fillId="0" borderId="43" xfId="0" applyBorder="1"/>
    <xf numFmtId="0" fontId="0" fillId="0" borderId="44" xfId="0" applyBorder="1"/>
    <xf numFmtId="0" fontId="0" fillId="0" borderId="45" xfId="0" applyBorder="1"/>
    <xf numFmtId="0" fontId="0" fillId="0" borderId="46" xfId="0" applyBorder="1"/>
    <xf numFmtId="0" fontId="0" fillId="0" borderId="27" xfId="0"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8" fillId="18" borderId="27" xfId="0" applyFont="1" applyFill="1" applyBorder="1" applyAlignment="1">
      <alignment horizontal="center"/>
    </xf>
    <xf numFmtId="1" fontId="8" fillId="18" borderId="19" xfId="0" applyNumberFormat="1" applyFont="1" applyFill="1" applyBorder="1" applyAlignment="1">
      <alignment horizontal="center"/>
    </xf>
    <xf numFmtId="1" fontId="8" fillId="18" borderId="20" xfId="0" applyNumberFormat="1" applyFont="1" applyFill="1" applyBorder="1" applyAlignment="1">
      <alignment horizontal="center"/>
    </xf>
    <xf numFmtId="0" fontId="0" fillId="23" borderId="27" xfId="0" applyFill="1" applyBorder="1" applyAlignment="1">
      <alignment horizontal="center"/>
    </xf>
    <xf numFmtId="1" fontId="0" fillId="23" borderId="19" xfId="0" applyNumberFormat="1" applyFill="1" applyBorder="1" applyAlignment="1">
      <alignment horizontal="center"/>
    </xf>
    <xf numFmtId="1" fontId="0" fillId="23" borderId="20" xfId="0" applyNumberFormat="1" applyFill="1" applyBorder="1" applyAlignment="1">
      <alignment horizontal="center"/>
    </xf>
    <xf numFmtId="0" fontId="43" fillId="0" borderId="28" xfId="0" applyFont="1" applyBorder="1" applyAlignment="1">
      <alignment horizontal="center"/>
    </xf>
    <xf numFmtId="1" fontId="43" fillId="0" borderId="29" xfId="0" applyNumberFormat="1" applyFont="1" applyBorder="1" applyAlignment="1">
      <alignment horizontal="center"/>
    </xf>
    <xf numFmtId="1" fontId="43" fillId="0" borderId="30" xfId="0" applyNumberFormat="1" applyFont="1" applyBorder="1" applyAlignment="1">
      <alignment horizontal="center"/>
    </xf>
    <xf numFmtId="0" fontId="2" fillId="0" borderId="0" xfId="0" applyFont="1"/>
    <xf numFmtId="164" fontId="2" fillId="0" borderId="0" xfId="0" applyNumberFormat="1" applyFont="1"/>
    <xf numFmtId="0" fontId="43" fillId="0" borderId="50" xfId="0" applyFont="1" applyBorder="1" applyAlignment="1">
      <alignment horizontal="center"/>
    </xf>
    <xf numFmtId="164" fontId="0" fillId="0" borderId="0" xfId="0" applyNumberFormat="1"/>
    <xf numFmtId="0" fontId="0" fillId="0" borderId="49" xfId="0" applyBorder="1" applyAlignment="1">
      <alignment horizontal="center"/>
    </xf>
    <xf numFmtId="0" fontId="0" fillId="0" borderId="1" xfId="0" applyBorder="1"/>
    <xf numFmtId="0" fontId="17" fillId="0" borderId="0" xfId="0" applyFont="1"/>
    <xf numFmtId="0" fontId="45" fillId="0" borderId="43" xfId="0" applyFont="1" applyBorder="1" applyAlignment="1">
      <alignment vertical="center" wrapText="1"/>
    </xf>
    <xf numFmtId="0" fontId="45" fillId="0" borderId="0" xfId="0" applyFont="1" applyAlignment="1">
      <alignment vertical="center" wrapText="1"/>
    </xf>
    <xf numFmtId="1" fontId="43" fillId="0" borderId="20" xfId="0" applyNumberFormat="1" applyFont="1" applyBorder="1" applyAlignment="1">
      <alignment horizontal="center"/>
    </xf>
    <xf numFmtId="164" fontId="43" fillId="0" borderId="29" xfId="0" applyNumberFormat="1" applyFont="1" applyBorder="1" applyAlignment="1">
      <alignment horizontal="center"/>
    </xf>
    <xf numFmtId="164" fontId="43" fillId="0" borderId="30" xfId="0" applyNumberFormat="1" applyFont="1" applyBorder="1" applyAlignment="1">
      <alignment horizontal="center"/>
    </xf>
    <xf numFmtId="0" fontId="43" fillId="0" borderId="56" xfId="0" applyFont="1" applyBorder="1" applyAlignment="1">
      <alignment horizontal="center"/>
    </xf>
    <xf numFmtId="1" fontId="43" fillId="0" borderId="25" xfId="0" applyNumberFormat="1" applyFont="1" applyBorder="1" applyAlignment="1">
      <alignment horizontal="center"/>
    </xf>
    <xf numFmtId="0" fontId="8" fillId="22" borderId="49" xfId="0" applyFont="1" applyFill="1" applyBorder="1" applyAlignment="1">
      <alignment horizontal="center"/>
    </xf>
    <xf numFmtId="1" fontId="8" fillId="22" borderId="19" xfId="0" applyNumberFormat="1" applyFont="1" applyFill="1" applyBorder="1" applyAlignment="1">
      <alignment horizontal="center"/>
    </xf>
    <xf numFmtId="1" fontId="8" fillId="22" borderId="20" xfId="0" applyNumberFormat="1" applyFont="1" applyFill="1" applyBorder="1" applyAlignment="1">
      <alignment horizontal="center"/>
    </xf>
    <xf numFmtId="0" fontId="14" fillId="18" borderId="49" xfId="0" applyFont="1" applyFill="1" applyBorder="1" applyAlignment="1">
      <alignment horizontal="center"/>
    </xf>
    <xf numFmtId="1" fontId="0" fillId="18" borderId="19" xfId="0" applyNumberFormat="1" applyFill="1" applyBorder="1" applyAlignment="1">
      <alignment horizontal="center"/>
    </xf>
    <xf numFmtId="1" fontId="0" fillId="18" borderId="20" xfId="0" applyNumberFormat="1" applyFill="1" applyBorder="1" applyAlignment="1">
      <alignment horizontal="center"/>
    </xf>
    <xf numFmtId="0" fontId="14" fillId="23" borderId="49" xfId="0" applyFont="1" applyFill="1" applyBorder="1" applyAlignment="1">
      <alignment horizontal="center"/>
    </xf>
    <xf numFmtId="0" fontId="29" fillId="0" borderId="9" xfId="0" applyFont="1" applyBorder="1" applyAlignment="1">
      <alignment horizontal="left"/>
    </xf>
    <xf numFmtId="164" fontId="30" fillId="0" borderId="10" xfId="0" applyNumberFormat="1" applyFont="1" applyBorder="1"/>
    <xf numFmtId="164" fontId="43" fillId="0" borderId="19" xfId="0" applyNumberFormat="1" applyFont="1" applyBorder="1" applyAlignment="1">
      <alignment horizontal="center"/>
    </xf>
    <xf numFmtId="0" fontId="7" fillId="0" borderId="68" xfId="0" applyFont="1" applyBorder="1" applyAlignment="1">
      <alignment horizontal="center"/>
    </xf>
    <xf numFmtId="0" fontId="0" fillId="0" borderId="76" xfId="0" applyBorder="1"/>
    <xf numFmtId="0" fontId="0" fillId="0" borderId="62" xfId="0" applyBorder="1"/>
    <xf numFmtId="0" fontId="0" fillId="0" borderId="56" xfId="0" applyBorder="1"/>
    <xf numFmtId="0" fontId="0" fillId="0" borderId="49" xfId="0" applyBorder="1"/>
    <xf numFmtId="0" fontId="0" fillId="0" borderId="77" xfId="0" applyBorder="1"/>
    <xf numFmtId="0" fontId="0" fillId="24" borderId="51" xfId="0" applyFill="1" applyBorder="1"/>
    <xf numFmtId="0" fontId="0" fillId="24" borderId="52" xfId="0" applyFill="1" applyBorder="1"/>
    <xf numFmtId="0" fontId="0" fillId="24" borderId="53" xfId="0" applyFill="1" applyBorder="1"/>
    <xf numFmtId="0" fontId="0" fillId="24" borderId="54" xfId="0" applyFill="1" applyBorder="1"/>
    <xf numFmtId="0" fontId="0" fillId="24" borderId="0" xfId="0" applyFill="1"/>
    <xf numFmtId="0" fontId="11" fillId="24" borderId="54" xfId="0" applyFont="1" applyFill="1" applyBorder="1"/>
    <xf numFmtId="0" fontId="0" fillId="24" borderId="65" xfId="0" applyFill="1" applyBorder="1"/>
    <xf numFmtId="0" fontId="0" fillId="24" borderId="57" xfId="0" applyFill="1" applyBorder="1"/>
    <xf numFmtId="0" fontId="0" fillId="24" borderId="66" xfId="0" applyFill="1" applyBorder="1"/>
    <xf numFmtId="0" fontId="31" fillId="14" borderId="0" xfId="0" applyFont="1" applyFill="1"/>
    <xf numFmtId="9" fontId="30" fillId="14" borderId="0" xfId="0" applyNumberFormat="1" applyFont="1" applyFill="1"/>
    <xf numFmtId="1" fontId="31" fillId="14" borderId="0" xfId="0" applyNumberFormat="1" applyFont="1" applyFill="1"/>
    <xf numFmtId="9" fontId="30" fillId="14" borderId="45" xfId="0" applyNumberFormat="1" applyFont="1" applyFill="1" applyBorder="1"/>
    <xf numFmtId="164" fontId="30" fillId="14" borderId="71" xfId="0" applyNumberFormat="1" applyFont="1" applyFill="1" applyBorder="1"/>
    <xf numFmtId="9" fontId="30" fillId="14" borderId="26" xfId="0" applyNumberFormat="1" applyFont="1" applyFill="1" applyBorder="1"/>
    <xf numFmtId="1" fontId="31" fillId="20" borderId="19" xfId="0" applyNumberFormat="1" applyFont="1" applyFill="1" applyBorder="1"/>
    <xf numFmtId="0" fontId="30" fillId="20" borderId="19" xfId="0" applyFont="1" applyFill="1" applyBorder="1" applyAlignment="1">
      <alignment horizontal="center"/>
    </xf>
    <xf numFmtId="0" fontId="30" fillId="14" borderId="46" xfId="0" applyFont="1" applyFill="1" applyBorder="1" applyAlignment="1">
      <alignment horizontal="center"/>
    </xf>
    <xf numFmtId="0" fontId="56" fillId="0" borderId="0" xfId="0" applyFont="1"/>
    <xf numFmtId="0" fontId="14" fillId="0" borderId="0" xfId="1" applyFont="1"/>
    <xf numFmtId="0" fontId="9" fillId="25" borderId="59" xfId="0" applyFont="1" applyFill="1" applyBorder="1" applyAlignment="1">
      <alignment horizontal="center" vertical="center" wrapText="1"/>
    </xf>
    <xf numFmtId="0" fontId="0" fillId="25" borderId="43" xfId="0" applyFill="1" applyBorder="1" applyAlignment="1">
      <alignment horizontal="center" vertical="center"/>
    </xf>
    <xf numFmtId="0" fontId="0" fillId="25" borderId="44" xfId="0" applyFill="1" applyBorder="1" applyAlignment="1">
      <alignment horizontal="center" vertical="center"/>
    </xf>
    <xf numFmtId="0" fontId="0" fillId="25" borderId="46" xfId="0" applyFill="1" applyBorder="1" applyAlignment="1">
      <alignment horizontal="center" vertical="center"/>
    </xf>
    <xf numFmtId="0" fontId="0" fillId="25" borderId="0" xfId="0" applyFill="1" applyAlignment="1">
      <alignment horizontal="center" vertical="center"/>
    </xf>
    <xf numFmtId="0" fontId="0" fillId="25" borderId="45" xfId="0" applyFill="1" applyBorder="1" applyAlignment="1">
      <alignment horizontal="center" vertical="center"/>
    </xf>
    <xf numFmtId="0" fontId="0" fillId="25" borderId="1" xfId="0" applyFill="1" applyBorder="1" applyAlignment="1">
      <alignment horizontal="center" vertical="center"/>
    </xf>
    <xf numFmtId="0" fontId="0" fillId="25" borderId="2" xfId="0" applyFill="1" applyBorder="1" applyAlignment="1">
      <alignment horizontal="center" vertical="center"/>
    </xf>
    <xf numFmtId="0" fontId="0" fillId="25" borderId="3" xfId="0" applyFill="1" applyBorder="1" applyAlignment="1">
      <alignment horizontal="center" vertical="center"/>
    </xf>
    <xf numFmtId="0" fontId="34" fillId="24" borderId="64" xfId="0" applyFont="1" applyFill="1" applyBorder="1" applyAlignment="1">
      <alignment horizontal="left"/>
    </xf>
    <xf numFmtId="0" fontId="52" fillId="24" borderId="65" xfId="0" applyFont="1" applyFill="1" applyBorder="1" applyAlignment="1">
      <alignment horizontal="left"/>
    </xf>
    <xf numFmtId="0" fontId="35" fillId="4" borderId="5" xfId="0" applyFont="1" applyFill="1" applyBorder="1" applyAlignment="1">
      <alignment horizontal="left" wrapText="1"/>
    </xf>
    <xf numFmtId="0" fontId="12" fillId="4" borderId="7" xfId="0" applyFont="1" applyFill="1" applyBorder="1" applyAlignment="1">
      <alignment horizontal="left" wrapText="1"/>
    </xf>
    <xf numFmtId="0" fontId="39" fillId="26" borderId="5" xfId="0" applyFont="1" applyFill="1" applyBorder="1" applyAlignment="1">
      <alignment horizontal="left" vertical="center"/>
    </xf>
    <xf numFmtId="0" fontId="40" fillId="25" borderId="7" xfId="0" applyFont="1" applyFill="1" applyBorder="1" applyAlignment="1">
      <alignment vertical="center"/>
    </xf>
    <xf numFmtId="0" fontId="39" fillId="26" borderId="5" xfId="0" applyFont="1" applyFill="1" applyBorder="1" applyAlignment="1">
      <alignment horizontal="left" vertical="center" wrapText="1"/>
    </xf>
    <xf numFmtId="0" fontId="34" fillId="25" borderId="7" xfId="0" applyFont="1" applyFill="1" applyBorder="1" applyAlignment="1">
      <alignment vertical="center"/>
    </xf>
    <xf numFmtId="0" fontId="33" fillId="25" borderId="5" xfId="0" applyFont="1" applyFill="1" applyBorder="1" applyAlignment="1">
      <alignment horizontal="center" vertical="center" wrapText="1"/>
    </xf>
    <xf numFmtId="0" fontId="27" fillId="25" borderId="6" xfId="0" applyFont="1" applyFill="1" applyBorder="1" applyAlignment="1">
      <alignment horizontal="center" vertical="center" wrapText="1"/>
    </xf>
    <xf numFmtId="0" fontId="27" fillId="25" borderId="7" xfId="0" applyFont="1" applyFill="1" applyBorder="1" applyAlignment="1">
      <alignment horizontal="center" vertical="center" wrapText="1"/>
    </xf>
    <xf numFmtId="0" fontId="28" fillId="25" borderId="5" xfId="0" applyFont="1" applyFill="1" applyBorder="1" applyAlignment="1">
      <alignment horizontal="center" vertical="center" wrapText="1"/>
    </xf>
    <xf numFmtId="0" fontId="4" fillId="25" borderId="6" xfId="0" applyFont="1" applyFill="1" applyBorder="1" applyAlignment="1">
      <alignment horizontal="center" vertical="center" wrapText="1"/>
    </xf>
    <xf numFmtId="0" fontId="48" fillId="4" borderId="5" xfId="0" applyFont="1" applyFill="1" applyBorder="1" applyAlignment="1">
      <alignment horizontal="left" wrapText="1"/>
    </xf>
    <xf numFmtId="0" fontId="35" fillId="4" borderId="7" xfId="0" applyFont="1" applyFill="1" applyBorder="1" applyAlignment="1">
      <alignment horizontal="left" wrapText="1"/>
    </xf>
    <xf numFmtId="0" fontId="39" fillId="26" borderId="1" xfId="0" applyFont="1" applyFill="1" applyBorder="1" applyAlignment="1">
      <alignment horizontal="left" vertical="center"/>
    </xf>
    <xf numFmtId="0" fontId="40" fillId="25" borderId="3" xfId="0" applyFont="1" applyFill="1" applyBorder="1" applyAlignment="1">
      <alignment horizontal="left" vertical="center"/>
    </xf>
    <xf numFmtId="0" fontId="2" fillId="18" borderId="47" xfId="0" applyFont="1" applyFill="1" applyBorder="1" applyAlignment="1">
      <alignment horizontal="center" vertical="center" wrapText="1"/>
    </xf>
    <xf numFmtId="0" fontId="2" fillId="18" borderId="48"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1" fillId="0" borderId="43" xfId="0" applyFont="1" applyBorder="1" applyAlignment="1">
      <alignment horizontal="center"/>
    </xf>
    <xf numFmtId="0" fontId="1" fillId="0" borderId="44" xfId="0" applyFont="1" applyBorder="1" applyAlignment="1">
      <alignment horizontal="center"/>
    </xf>
    <xf numFmtId="0" fontId="15" fillId="15" borderId="41" xfId="0" applyFont="1" applyFill="1" applyBorder="1" applyAlignment="1">
      <alignment horizontal="center" vertical="center" wrapText="1"/>
    </xf>
    <xf numFmtId="0" fontId="5" fillId="15" borderId="42" xfId="0" applyFont="1" applyFill="1" applyBorder="1" applyAlignment="1">
      <alignment horizontal="center" vertical="center" wrapText="1"/>
    </xf>
    <xf numFmtId="0" fontId="2" fillId="16" borderId="59" xfId="0" applyFont="1" applyFill="1" applyBorder="1" applyAlignment="1">
      <alignment horizontal="center" vertical="center" wrapText="1"/>
    </xf>
    <xf numFmtId="0" fontId="2" fillId="16" borderId="48"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1" fillId="0" borderId="74" xfId="0" applyFont="1" applyBorder="1" applyAlignment="1">
      <alignment horizontal="center"/>
    </xf>
    <xf numFmtId="0" fontId="2" fillId="17" borderId="47" xfId="0" applyFont="1" applyFill="1" applyBorder="1" applyAlignment="1">
      <alignment horizontal="center" vertical="center" wrapText="1"/>
    </xf>
    <xf numFmtId="0" fontId="2" fillId="17" borderId="48" xfId="0" applyFont="1" applyFill="1" applyBorder="1" applyAlignment="1">
      <alignment horizontal="center" vertical="center" wrapText="1"/>
    </xf>
    <xf numFmtId="0" fontId="2" fillId="17" borderId="8" xfId="0" applyFont="1" applyFill="1" applyBorder="1" applyAlignment="1">
      <alignment horizontal="center" vertical="center" wrapText="1"/>
    </xf>
    <xf numFmtId="0" fontId="1" fillId="0" borderId="59" xfId="0" applyFont="1" applyBorder="1" applyAlignment="1">
      <alignment horizontal="center"/>
    </xf>
    <xf numFmtId="0" fontId="45" fillId="0" borderId="43"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left" vertical="center"/>
    </xf>
    <xf numFmtId="0" fontId="2" fillId="16" borderId="47" xfId="0" applyFont="1" applyFill="1" applyBorder="1" applyAlignment="1">
      <alignment horizontal="center" vertical="center" wrapText="1"/>
    </xf>
    <xf numFmtId="0" fontId="45" fillId="0" borderId="0" xfId="0" applyFont="1" applyAlignment="1">
      <alignment horizontal="center" vertical="center" wrapText="1"/>
    </xf>
    <xf numFmtId="0" fontId="22" fillId="0" borderId="5" xfId="0" applyFont="1" applyBorder="1" applyAlignment="1"/>
    <xf numFmtId="0" fontId="0" fillId="0" borderId="6" xfId="0" applyBorder="1" applyAlignment="1"/>
    <xf numFmtId="0" fontId="0" fillId="25" borderId="6" xfId="0" applyFill="1" applyBorder="1" applyAlignment="1"/>
    <xf numFmtId="0" fontId="0" fillId="25" borderId="7" xfId="0" applyFill="1" applyBorder="1" applyAlignment="1"/>
  </cellXfs>
  <cellStyles count="2">
    <cellStyle name="Hyperlink" xfId="1" builtinId="8"/>
    <cellStyle name="Normal" xfId="0" builtinId="0"/>
  </cellStyles>
  <dxfs count="0"/>
  <tableStyles count="0" defaultTableStyle="TableStyleMedium2" defaultPivotStyle="PivotStyleLight16"/>
  <colors>
    <mruColors>
      <color rgb="FFFFCE33"/>
      <color rgb="FFEFECF4"/>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Abbott Propimex-1 to Early Yrs'!A1"/><Relationship Id="rId7" Type="http://schemas.openxmlformats.org/officeDocument/2006/relationships/hyperlink" Target="#'MJ OA2 to Next'!A1"/><Relationship Id="rId2" Type="http://schemas.openxmlformats.org/officeDocument/2006/relationships/hyperlink" Target="#'MMA-PA Early Yrs to Next'!A1"/><Relationship Id="rId1" Type="http://schemas.openxmlformats.org/officeDocument/2006/relationships/hyperlink" Target="#'DRIs MMA-PA Anamix Early Yrs'!A1"/><Relationship Id="rId6" Type="http://schemas.openxmlformats.org/officeDocument/2006/relationships/hyperlink" Target="#'MJ OA1 to Early Yrs'!A1"/><Relationship Id="rId5" Type="http://schemas.openxmlformats.org/officeDocument/2006/relationships/hyperlink" Target="#'Abbott Propimex-1 to Next'!A1"/><Relationship Id="rId4" Type="http://schemas.openxmlformats.org/officeDocument/2006/relationships/hyperlink" Target="#'DRIs MMA-PA Anamix Next'!A1"/><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17</xdr:col>
      <xdr:colOff>425853</xdr:colOff>
      <xdr:row>30</xdr:row>
      <xdr:rowOff>83295</xdr:rowOff>
    </xdr:from>
    <xdr:to>
      <xdr:col>22</xdr:col>
      <xdr:colOff>261938</xdr:colOff>
      <xdr:row>33</xdr:row>
      <xdr:rowOff>161924</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0792228" y="5591920"/>
          <a:ext cx="3011085" cy="626317"/>
        </a:xfrm>
        <a:prstGeom prst="rect">
          <a:avLst/>
        </a:prstGeom>
        <a:solidFill>
          <a:schemeClr val="accent6">
            <a:lumMod val="40000"/>
            <a:lumOff val="60000"/>
          </a:schemeClr>
        </a:solidFill>
        <a:ln w="19050" cmpd="sng">
          <a:no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Transition </a:t>
          </a:r>
        </a:p>
        <a:p>
          <a:pPr marL="0" marR="0" indent="0" algn="l" defTabSz="914400" eaLnBrk="1" fontAlgn="auto" latinLnBrk="0" hangingPunct="1">
            <a:lnSpc>
              <a:spcPct val="100000"/>
            </a:lnSpc>
            <a:spcBef>
              <a:spcPts val="0"/>
            </a:spcBef>
            <a:spcAft>
              <a:spcPts val="0"/>
            </a:spcAft>
            <a:buClrTx/>
            <a:buSzTx/>
            <a:buFontTx/>
            <a:buNone/>
            <a:tabLst/>
            <a:defRPr/>
          </a:pPr>
          <a:r>
            <a:rPr lang="en-US" sz="1100" b="1" i="1">
              <a:solidFill>
                <a:sysClr val="windowText" lastClr="000000"/>
              </a:solidFill>
              <a:effectLst/>
              <a:latin typeface="+mn-lt"/>
              <a:ea typeface="+mn-ea"/>
              <a:cs typeface="+mn-cs"/>
            </a:rPr>
            <a:t>from</a:t>
          </a:r>
          <a:r>
            <a:rPr lang="en-US" sz="1100" b="1">
              <a:solidFill>
                <a:sysClr val="windowText" lastClr="000000"/>
              </a:solidFill>
              <a:effectLst/>
              <a:latin typeface="+mn-lt"/>
              <a:ea typeface="+mn-ea"/>
              <a:cs typeface="+mn-cs"/>
            </a:rPr>
            <a:t> Abbott's </a:t>
          </a:r>
        </a:p>
        <a:p>
          <a:pPr marL="0" marR="0" indent="0" algn="l"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Propimex®-1</a:t>
          </a:r>
          <a:endParaRPr lang="en-US" sz="900">
            <a:solidFill>
              <a:sysClr val="windowText" lastClr="000000"/>
            </a:solidFill>
            <a:effectLst/>
          </a:endParaRPr>
        </a:p>
      </xdr:txBody>
    </xdr:sp>
    <xdr:clientData/>
  </xdr:twoCellAnchor>
  <xdr:twoCellAnchor>
    <xdr:from>
      <xdr:col>4</xdr:col>
      <xdr:colOff>114299</xdr:colOff>
      <xdr:row>12</xdr:row>
      <xdr:rowOff>3460</xdr:rowOff>
    </xdr:from>
    <xdr:to>
      <xdr:col>8</xdr:col>
      <xdr:colOff>571500</xdr:colOff>
      <xdr:row>29</xdr:row>
      <xdr:rowOff>152400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43124" y="2327560"/>
          <a:ext cx="2895601" cy="3387440"/>
        </a:xfrm>
        <a:prstGeom prst="roundRect">
          <a:avLst>
            <a:gd name="adj" fmla="val 4488"/>
          </a:avLst>
        </a:prstGeom>
        <a:solidFill>
          <a:schemeClr val="accent4">
            <a:lumMod val="40000"/>
            <a:lumOff val="60000"/>
          </a:schemeClr>
        </a:solidFill>
        <a:ln/>
        <a:effectLst>
          <a:outerShdw blurRad="50800" dist="50800" dir="5400000" algn="ctr" rotWithShape="0">
            <a:srgbClr val="000000">
              <a:alpha val="0"/>
            </a:srgb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900" b="0">
              <a:solidFill>
                <a:schemeClr val="dk1"/>
              </a:solidFill>
              <a:effectLst/>
              <a:latin typeface="+mn-lt"/>
              <a:ea typeface="+mn-ea"/>
              <a:cs typeface="Arial" panose="020B0604020202020204" pitchFamily="34" charset="0"/>
            </a:rPr>
            <a:t>- MMA/PA</a:t>
          </a:r>
          <a:r>
            <a:rPr lang="en-US" sz="900" b="0" baseline="0">
              <a:solidFill>
                <a:schemeClr val="dk1"/>
              </a:solidFill>
              <a:effectLst/>
              <a:latin typeface="+mn-lt"/>
              <a:ea typeface="+mn-ea"/>
              <a:cs typeface="Arial" panose="020B0604020202020204" pitchFamily="34" charset="0"/>
            </a:rPr>
            <a:t> Anamix</a:t>
          </a:r>
          <a:r>
            <a:rPr lang="en-US" sz="900" b="0" baseline="30000">
              <a:solidFill>
                <a:schemeClr val="dk1"/>
              </a:solidFill>
              <a:effectLst/>
              <a:latin typeface="+mn-lt"/>
              <a:ea typeface="+mn-ea"/>
              <a:cs typeface="Arial" panose="020B0604020202020204" pitchFamily="34" charset="0"/>
            </a:rPr>
            <a:t>®</a:t>
          </a:r>
          <a:r>
            <a:rPr lang="en-US" sz="900" b="0">
              <a:solidFill>
                <a:schemeClr val="dk1"/>
              </a:solidFill>
              <a:effectLst/>
              <a:latin typeface="+mn-lt"/>
              <a:ea typeface="+mn-ea"/>
              <a:cs typeface="Arial" panose="020B0604020202020204" pitchFamily="34" charset="0"/>
            </a:rPr>
            <a:t> Early Years </a:t>
          </a:r>
          <a:endParaRPr lang="en-US" sz="900">
            <a:effectLst/>
            <a:latin typeface="+mn-lt"/>
            <a:cs typeface="Arial" panose="020B0604020202020204" pitchFamily="34" charset="0"/>
          </a:endParaRPr>
        </a:p>
        <a:p>
          <a:r>
            <a:rPr lang="en-US" sz="900" b="0">
              <a:solidFill>
                <a:schemeClr val="dk1"/>
              </a:solidFill>
              <a:effectLst/>
              <a:latin typeface="+mn-lt"/>
              <a:ea typeface="+mn-ea"/>
              <a:cs typeface="Arial" panose="020B0604020202020204" pitchFamily="34" charset="0"/>
            </a:rPr>
            <a:t>- MMA/PA Anamix</a:t>
          </a:r>
          <a:r>
            <a:rPr lang="en-US" sz="900" b="0" baseline="30000">
              <a:solidFill>
                <a:schemeClr val="dk1"/>
              </a:solidFill>
              <a:effectLst/>
              <a:latin typeface="+mn-lt"/>
              <a:ea typeface="+mn-ea"/>
              <a:cs typeface="+mn-cs"/>
            </a:rPr>
            <a:t>® </a:t>
          </a:r>
          <a:r>
            <a:rPr lang="en-US" sz="900" b="0" baseline="0">
              <a:solidFill>
                <a:schemeClr val="dk1"/>
              </a:solidFill>
              <a:effectLst/>
              <a:latin typeface="+mn-lt"/>
              <a:ea typeface="+mn-ea"/>
              <a:cs typeface="+mn-cs"/>
            </a:rPr>
            <a:t> Next</a:t>
          </a:r>
          <a:endParaRPr lang="en-US" sz="900" b="0" baseline="0">
            <a:solidFill>
              <a:schemeClr val="dk1"/>
            </a:solidFill>
            <a:effectLst/>
            <a:latin typeface="+mn-lt"/>
            <a:ea typeface="+mn-ea"/>
            <a:cs typeface="Arial" panose="020B0604020202020204" pitchFamily="34" charset="0"/>
          </a:endParaRPr>
        </a:p>
        <a:p>
          <a:endParaRPr lang="en-US" sz="900">
            <a:effectLst/>
            <a:latin typeface="+mn-lt"/>
            <a:cs typeface="Arial" panose="020B0604020202020204" pitchFamily="34" charset="0"/>
          </a:endParaRPr>
        </a:p>
        <a:p>
          <a:pPr algn="ctr"/>
          <a:r>
            <a:rPr lang="en-US" sz="1200" b="1" u="sng">
              <a:solidFill>
                <a:schemeClr val="dk1"/>
              </a:solidFill>
              <a:effectLst/>
              <a:latin typeface="+mn-lt"/>
              <a:ea typeface="+mn-ea"/>
              <a:cs typeface="Arial" panose="020B0604020202020204" pitchFamily="34" charset="0"/>
            </a:rPr>
            <a:t>DRI Charts</a:t>
          </a:r>
        </a:p>
        <a:p>
          <a:pPr algn="ctr"/>
          <a:endParaRPr lang="en-US" sz="1000">
            <a:effectLst/>
            <a:latin typeface="+mn-lt"/>
            <a:cs typeface="Arial" panose="020B0604020202020204" pitchFamily="34" charset="0"/>
          </a:endParaRPr>
        </a:p>
        <a:p>
          <a:r>
            <a:rPr lang="en-US" sz="1100">
              <a:solidFill>
                <a:schemeClr val="dk1"/>
              </a:solidFill>
              <a:effectLst/>
              <a:latin typeface="+mn-lt"/>
              <a:ea typeface="+mn-ea"/>
              <a:cs typeface="Arial" panose="020B0604020202020204" pitchFamily="34" charset="0"/>
            </a:rPr>
            <a:t>This is a great interactive tool to ensure your patients' nutritional needs are met!</a:t>
          </a:r>
          <a:endParaRPr lang="en-US" sz="1000">
            <a:effectLst/>
            <a:latin typeface="+mn-lt"/>
            <a:cs typeface="Arial" panose="020B0604020202020204" pitchFamily="34" charset="0"/>
          </a:endParaRPr>
        </a:p>
        <a:p>
          <a:r>
            <a:rPr lang="en-US" sz="1100">
              <a:solidFill>
                <a:schemeClr val="dk1"/>
              </a:solidFill>
              <a:effectLst/>
              <a:latin typeface="+mn-lt"/>
              <a:ea typeface="+mn-ea"/>
              <a:cs typeface="Arial" panose="020B0604020202020204" pitchFamily="34" charset="0"/>
            </a:rPr>
            <a:t>Please refer to the appropriate</a:t>
          </a:r>
          <a:r>
            <a:rPr lang="en-US" sz="1100" baseline="0">
              <a:solidFill>
                <a:schemeClr val="dk1"/>
              </a:solidFill>
              <a:effectLst/>
              <a:latin typeface="+mn-lt"/>
              <a:ea typeface="+mn-ea"/>
              <a:cs typeface="Arial" panose="020B0604020202020204" pitchFamily="34" charset="0"/>
            </a:rPr>
            <a:t> product </a:t>
          </a:r>
          <a:r>
            <a:rPr lang="en-US" sz="1100">
              <a:solidFill>
                <a:schemeClr val="dk1"/>
              </a:solidFill>
              <a:effectLst/>
              <a:latin typeface="+mn-lt"/>
              <a:ea typeface="+mn-ea"/>
              <a:cs typeface="Arial" panose="020B0604020202020204" pitchFamily="34" charset="0"/>
            </a:rPr>
            <a:t>tab at the bottom of the page. </a:t>
          </a:r>
        </a:p>
        <a:p>
          <a:endParaRPr lang="en-US" sz="1000">
            <a:effectLst/>
            <a:latin typeface="+mn-lt"/>
            <a:cs typeface="Arial" panose="020B0604020202020204" pitchFamily="34" charset="0"/>
          </a:endParaRPr>
        </a:p>
        <a:p>
          <a:r>
            <a:rPr lang="en-US" sz="1100">
              <a:solidFill>
                <a:schemeClr val="dk1"/>
              </a:solidFill>
              <a:effectLst/>
              <a:latin typeface="+mn-lt"/>
              <a:ea typeface="+mn-ea"/>
              <a:cs typeface="Arial" panose="020B0604020202020204" pitchFamily="34" charset="0"/>
            </a:rPr>
            <a:t>In the bright yellow box type in the grams of protein equivalent (PE) your patient receives from the product and press</a:t>
          </a:r>
          <a:r>
            <a:rPr lang="en-US" sz="1100" baseline="0">
              <a:solidFill>
                <a:schemeClr val="dk1"/>
              </a:solidFill>
              <a:effectLst/>
              <a:latin typeface="+mn-lt"/>
              <a:ea typeface="+mn-ea"/>
              <a:cs typeface="Arial" panose="020B0604020202020204" pitchFamily="34" charset="0"/>
            </a:rPr>
            <a:t> the</a:t>
          </a:r>
          <a:r>
            <a:rPr lang="en-US" sz="1100">
              <a:solidFill>
                <a:schemeClr val="dk1"/>
              </a:solidFill>
              <a:effectLst/>
              <a:latin typeface="+mn-lt"/>
              <a:ea typeface="+mn-ea"/>
              <a:cs typeface="Arial" panose="020B0604020202020204" pitchFamily="34" charset="0"/>
            </a:rPr>
            <a:t> enter key. You will then see in Column B the amount of macro- &amp; micro-nutrients your patient will receive with our product. Then look to the right to see how these values compare to the</a:t>
          </a:r>
          <a:r>
            <a:rPr lang="en-US" sz="1100" baseline="0">
              <a:solidFill>
                <a:schemeClr val="dk1"/>
              </a:solidFill>
              <a:effectLst/>
              <a:latin typeface="+mn-lt"/>
              <a:ea typeface="+mn-ea"/>
              <a:cs typeface="Arial" panose="020B0604020202020204" pitchFamily="34" charset="0"/>
            </a:rPr>
            <a:t> DRI in the </a:t>
          </a:r>
          <a:r>
            <a:rPr lang="en-US" sz="1100">
              <a:solidFill>
                <a:schemeClr val="dk1"/>
              </a:solidFill>
              <a:effectLst/>
              <a:latin typeface="+mn-lt"/>
              <a:ea typeface="+mn-ea"/>
              <a:cs typeface="Arial" panose="020B0604020202020204" pitchFamily="34" charset="0"/>
            </a:rPr>
            <a:t>appropriate age group column.</a:t>
          </a:r>
          <a:endParaRPr lang="en-US" sz="1000">
            <a:effectLst/>
            <a:latin typeface="+mn-lt"/>
            <a:cs typeface="Arial" panose="020B0604020202020204" pitchFamily="34" charset="0"/>
          </a:endParaRPr>
        </a:p>
      </xdr:txBody>
    </xdr:sp>
    <xdr:clientData/>
  </xdr:twoCellAnchor>
  <xdr:twoCellAnchor>
    <xdr:from>
      <xdr:col>10</xdr:col>
      <xdr:colOff>301916</xdr:colOff>
      <xdr:row>11</xdr:row>
      <xdr:rowOff>179295</xdr:rowOff>
    </xdr:from>
    <xdr:to>
      <xdr:col>14</xdr:col>
      <xdr:colOff>571500</xdr:colOff>
      <xdr:row>28</xdr:row>
      <xdr:rowOff>56029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949681" y="2319619"/>
          <a:ext cx="2690054" cy="3115234"/>
        </a:xfrm>
        <a:prstGeom prst="roundRect">
          <a:avLst>
            <a:gd name="adj" fmla="val 4356"/>
          </a:avLst>
        </a:prstGeom>
        <a:solidFill>
          <a:schemeClr val="accent1">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0">
              <a:solidFill>
                <a:schemeClr val="dk1"/>
              </a:solidFill>
              <a:effectLst/>
              <a:latin typeface="+mn-lt"/>
              <a:ea typeface="+mn-ea"/>
              <a:cs typeface="Arial" panose="020B0604020202020204" pitchFamily="34" charset="0"/>
            </a:rPr>
            <a:t>- </a:t>
          </a:r>
          <a:r>
            <a:rPr lang="en-US" sz="900" b="0" baseline="0">
              <a:solidFill>
                <a:schemeClr val="dk1"/>
              </a:solidFill>
              <a:effectLst/>
              <a:latin typeface="+mn-lt"/>
              <a:ea typeface="+mn-ea"/>
              <a:cs typeface="Arial" panose="020B0604020202020204" pitchFamily="34" charset="0"/>
            </a:rPr>
            <a:t>MMA/PA Anamix</a:t>
          </a:r>
          <a:r>
            <a:rPr lang="en-US" sz="900" b="0" baseline="30000">
              <a:solidFill>
                <a:schemeClr val="dk1"/>
              </a:solidFill>
              <a:effectLst/>
              <a:latin typeface="+mn-lt"/>
              <a:ea typeface="+mn-ea"/>
              <a:cs typeface="Arial" panose="020B0604020202020204" pitchFamily="34" charset="0"/>
            </a:rPr>
            <a:t>®</a:t>
          </a:r>
          <a:r>
            <a:rPr lang="en-US" sz="900" b="0" baseline="0">
              <a:solidFill>
                <a:schemeClr val="dk1"/>
              </a:solidFill>
              <a:effectLst/>
              <a:latin typeface="+mn-lt"/>
              <a:ea typeface="+mn-ea"/>
              <a:cs typeface="Arial" panose="020B0604020202020204" pitchFamily="34" charset="0"/>
            </a:rPr>
            <a:t> Early Years to MMA/PA Anamix Next</a:t>
          </a:r>
        </a:p>
        <a:p>
          <a:pPr eaLnBrk="1" fontAlgn="auto" latinLnBrk="0" hangingPunct="1"/>
          <a:endParaRPr lang="en-US" sz="900">
            <a:effectLst/>
            <a:latin typeface="+mn-lt"/>
            <a:cs typeface="Arial" panose="020B0604020202020204" pitchFamily="34" charset="0"/>
          </a:endParaRPr>
        </a:p>
        <a:p>
          <a:pPr algn="ctr"/>
          <a:r>
            <a:rPr lang="en-US" sz="1200" b="1" u="sng">
              <a:solidFill>
                <a:schemeClr val="dk1"/>
              </a:solidFill>
              <a:effectLst/>
              <a:latin typeface="+mn-lt"/>
              <a:ea typeface="+mn-ea"/>
              <a:cs typeface="Arial" panose="020B0604020202020204" pitchFamily="34" charset="0"/>
            </a:rPr>
            <a:t>Transitioning</a:t>
          </a:r>
          <a:r>
            <a:rPr lang="en-US" sz="1200" b="1" u="sng" baseline="0">
              <a:solidFill>
                <a:schemeClr val="dk1"/>
              </a:solidFill>
              <a:effectLst/>
              <a:latin typeface="+mn-lt"/>
              <a:ea typeface="+mn-ea"/>
              <a:cs typeface="Arial" panose="020B0604020202020204" pitchFamily="34" charset="0"/>
            </a:rPr>
            <a:t> from Early Years </a:t>
          </a:r>
        </a:p>
        <a:p>
          <a:pPr algn="ctr"/>
          <a:r>
            <a:rPr lang="en-US" sz="1200" b="1" u="sng" baseline="0">
              <a:solidFill>
                <a:schemeClr val="dk1"/>
              </a:solidFill>
              <a:effectLst/>
              <a:latin typeface="+mn-lt"/>
              <a:ea typeface="+mn-ea"/>
              <a:cs typeface="Arial" panose="020B0604020202020204" pitchFamily="34" charset="0"/>
            </a:rPr>
            <a:t>to the Next Stage</a:t>
          </a:r>
        </a:p>
        <a:p>
          <a:pPr algn="ctr"/>
          <a:endParaRPr lang="en-US" sz="1000">
            <a:effectLst/>
            <a:latin typeface="+mn-lt"/>
            <a:cs typeface="Arial" panose="020B0604020202020204" pitchFamily="34" charset="0"/>
          </a:endParaRPr>
        </a:p>
        <a:p>
          <a:r>
            <a:rPr lang="en-US" sz="1100">
              <a:solidFill>
                <a:srgbClr val="FF0000"/>
              </a:solidFill>
              <a:effectLst/>
              <a:latin typeface="+mn-lt"/>
              <a:ea typeface="+mn-ea"/>
              <a:cs typeface="Arial" panose="020B0604020202020204" pitchFamily="34" charset="0"/>
            </a:rPr>
            <a:t>Please refer to the "</a:t>
          </a:r>
          <a:r>
            <a:rPr lang="en-US" sz="1100" baseline="0">
              <a:solidFill>
                <a:srgbClr val="FF0000"/>
              </a:solidFill>
              <a:effectLst/>
              <a:latin typeface="+mn-lt"/>
              <a:ea typeface="+mn-ea"/>
              <a:cs typeface="Arial" panose="020B0604020202020204" pitchFamily="34" charset="0"/>
            </a:rPr>
            <a:t>MMA-PA Early Yrs to Next", </a:t>
          </a:r>
          <a:r>
            <a:rPr lang="en-US" sz="1100">
              <a:solidFill>
                <a:srgbClr val="FF0000"/>
              </a:solidFill>
              <a:effectLst/>
              <a:latin typeface="+mn-lt"/>
              <a:ea typeface="+mn-ea"/>
              <a:cs typeface="Arial" panose="020B0604020202020204" pitchFamily="34" charset="0"/>
            </a:rPr>
            <a:t>tab at the bottom of the page.</a:t>
          </a:r>
        </a:p>
        <a:p>
          <a:r>
            <a:rPr lang="en-US" sz="1100">
              <a:solidFill>
                <a:schemeClr val="dk1"/>
              </a:solidFill>
              <a:effectLst/>
              <a:latin typeface="+mn-lt"/>
              <a:ea typeface="+mn-ea"/>
              <a:cs typeface="Arial" panose="020B0604020202020204" pitchFamily="34" charset="0"/>
            </a:rPr>
            <a:t> </a:t>
          </a:r>
          <a:endParaRPr lang="en-US" sz="1000">
            <a:effectLst/>
            <a:latin typeface="+mn-lt"/>
            <a:cs typeface="Arial" panose="020B0604020202020204" pitchFamily="34" charset="0"/>
          </a:endParaRPr>
        </a:p>
        <a:p>
          <a:r>
            <a:rPr lang="en-US" sz="1100">
              <a:solidFill>
                <a:schemeClr val="dk1"/>
              </a:solidFill>
              <a:effectLst/>
              <a:latin typeface="+mn-lt"/>
              <a:ea typeface="+mn-ea"/>
              <a:cs typeface="Arial" panose="020B0604020202020204" pitchFamily="34" charset="0"/>
            </a:rPr>
            <a:t>In the bright</a:t>
          </a:r>
          <a:r>
            <a:rPr lang="en-US" sz="1100" baseline="0">
              <a:solidFill>
                <a:schemeClr val="dk1"/>
              </a:solidFill>
              <a:effectLst/>
              <a:latin typeface="+mn-lt"/>
              <a:ea typeface="+mn-ea"/>
              <a:cs typeface="Arial" panose="020B0604020202020204" pitchFamily="34" charset="0"/>
            </a:rPr>
            <a:t> y</a:t>
          </a:r>
          <a:r>
            <a:rPr lang="en-US" sz="1100">
              <a:solidFill>
                <a:schemeClr val="dk1"/>
              </a:solidFill>
              <a:effectLst/>
              <a:latin typeface="+mn-lt"/>
              <a:ea typeface="+mn-ea"/>
              <a:cs typeface="Arial" panose="020B0604020202020204" pitchFamily="34" charset="0"/>
            </a:rPr>
            <a:t>ellow box type in the grams PE your patient</a:t>
          </a:r>
          <a:r>
            <a:rPr lang="en-US" sz="1100" baseline="0">
              <a:solidFill>
                <a:schemeClr val="dk1"/>
              </a:solidFill>
              <a:effectLst/>
              <a:latin typeface="+mn-lt"/>
              <a:ea typeface="+mn-ea"/>
              <a:cs typeface="Arial" panose="020B0604020202020204" pitchFamily="34" charset="0"/>
            </a:rPr>
            <a:t> requires and press the enter key. You will then see multiple options for a step-by-step transition.</a:t>
          </a:r>
          <a:endParaRPr lang="en-US" sz="1000">
            <a:effectLst/>
            <a:latin typeface="+mn-lt"/>
            <a:cs typeface="Arial" panose="020B0604020202020204" pitchFamily="34" charset="0"/>
          </a:endParaRPr>
        </a:p>
      </xdr:txBody>
    </xdr:sp>
    <xdr:clientData/>
  </xdr:twoCellAnchor>
  <xdr:twoCellAnchor>
    <xdr:from>
      <xdr:col>3</xdr:col>
      <xdr:colOff>23812</xdr:colOff>
      <xdr:row>34</xdr:row>
      <xdr:rowOff>107156</xdr:rowOff>
    </xdr:from>
    <xdr:to>
      <xdr:col>4</xdr:col>
      <xdr:colOff>488203</xdr:colOff>
      <xdr:row>38</xdr:row>
      <xdr:rowOff>1128</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1524000" y="6226969"/>
          <a:ext cx="1107328" cy="608347"/>
        </a:xfrm>
        <a:prstGeom prst="rect">
          <a:avLst/>
        </a:prstGeom>
        <a:solidFill>
          <a:schemeClr val="accent3">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baseline="0">
              <a:latin typeface="+mn-lt"/>
              <a:cs typeface="Arial" panose="020B0604020202020204" pitchFamily="34" charset="0"/>
            </a:rPr>
            <a:t>MMA/PA Anamix Early Years DRIs</a:t>
          </a:r>
          <a:endParaRPr lang="en-US" sz="1100" b="1">
            <a:latin typeface="+mn-lt"/>
            <a:cs typeface="Arial" panose="020B0604020202020204" pitchFamily="34" charset="0"/>
          </a:endParaRPr>
        </a:p>
      </xdr:txBody>
    </xdr:sp>
    <xdr:clientData/>
  </xdr:twoCellAnchor>
  <xdr:twoCellAnchor>
    <xdr:from>
      <xdr:col>11</xdr:col>
      <xdr:colOff>292104</xdr:colOff>
      <xdr:row>34</xdr:row>
      <xdr:rowOff>1</xdr:rowOff>
    </xdr:from>
    <xdr:to>
      <xdr:col>13</xdr:col>
      <xdr:colOff>486682</xdr:colOff>
      <xdr:row>37</xdr:row>
      <xdr:rowOff>140321</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000-000009000000}"/>
            </a:ext>
          </a:extLst>
        </xdr:cNvPr>
        <xdr:cNvSpPr txBox="1"/>
      </xdr:nvSpPr>
      <xdr:spPr>
        <a:xfrm>
          <a:off x="6891568" y="6068787"/>
          <a:ext cx="1473650" cy="670998"/>
        </a:xfrm>
        <a:prstGeom prst="rect">
          <a:avLst/>
        </a:prstGeom>
        <a:solidFill>
          <a:schemeClr val="accent1">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baseline="0">
              <a:solidFill>
                <a:schemeClr val="dk1"/>
              </a:solidFill>
              <a:effectLst/>
              <a:latin typeface="+mn-lt"/>
              <a:ea typeface="+mn-ea"/>
              <a:cs typeface="Arial" panose="020B0604020202020204" pitchFamily="34" charset="0"/>
            </a:rPr>
            <a:t>MMA/PA Anamix Early Years to MMA/PA Anamix Next</a:t>
          </a:r>
          <a:endParaRPr lang="en-US" sz="1000" b="1">
            <a:effectLst/>
            <a:latin typeface="+mn-lt"/>
            <a:cs typeface="Arial" panose="020B0604020202020204" pitchFamily="34" charset="0"/>
          </a:endParaRPr>
        </a:p>
      </xdr:txBody>
    </xdr:sp>
    <xdr:clientData/>
  </xdr:twoCellAnchor>
  <xdr:twoCellAnchor>
    <xdr:from>
      <xdr:col>19</xdr:col>
      <xdr:colOff>261937</xdr:colOff>
      <xdr:row>30</xdr:row>
      <xdr:rowOff>87312</xdr:rowOff>
    </xdr:from>
    <xdr:to>
      <xdr:col>22</xdr:col>
      <xdr:colOff>257174</xdr:colOff>
      <xdr:row>31</xdr:row>
      <xdr:rowOff>177800</xdr:rowOff>
    </xdr:to>
    <xdr:sp macro="" textlink="">
      <xdr:nvSpPr>
        <xdr:cNvPr id="10" name="TextBox 9">
          <a:hlinkClick xmlns:r="http://schemas.openxmlformats.org/officeDocument/2006/relationships" r:id="rId3"/>
          <a:extLst>
            <a:ext uri="{FF2B5EF4-FFF2-40B4-BE49-F238E27FC236}">
              <a16:creationId xmlns:a16="http://schemas.microsoft.com/office/drawing/2014/main" id="{00000000-0008-0000-0000-00000A000000}"/>
            </a:ext>
          </a:extLst>
        </xdr:cNvPr>
        <xdr:cNvSpPr txBox="1"/>
      </xdr:nvSpPr>
      <xdr:spPr>
        <a:xfrm>
          <a:off x="11898312" y="5595937"/>
          <a:ext cx="1900237" cy="273051"/>
        </a:xfrm>
        <a:prstGeom prst="rect">
          <a:avLst/>
        </a:prstGeom>
        <a:solidFill>
          <a:schemeClr val="accent6">
            <a:lumMod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solidFill>
                <a:schemeClr val="bg1"/>
              </a:solidFill>
              <a:latin typeface="Arial" panose="020B0604020202020204" pitchFamily="34" charset="0"/>
              <a:cs typeface="Arial" panose="020B0604020202020204" pitchFamily="34" charset="0"/>
            </a:rPr>
            <a:t>to MMA/PA</a:t>
          </a:r>
          <a:r>
            <a:rPr lang="en-US" sz="900" b="1" baseline="0">
              <a:solidFill>
                <a:schemeClr val="bg1"/>
              </a:solidFill>
              <a:latin typeface="Arial" panose="020B0604020202020204" pitchFamily="34" charset="0"/>
              <a:cs typeface="Arial" panose="020B0604020202020204" pitchFamily="34" charset="0"/>
            </a:rPr>
            <a:t> </a:t>
          </a:r>
          <a:r>
            <a:rPr lang="en-US" sz="900" b="1">
              <a:solidFill>
                <a:schemeClr val="bg1"/>
              </a:solidFill>
              <a:latin typeface="Arial" panose="020B0604020202020204" pitchFamily="34" charset="0"/>
              <a:cs typeface="Arial" panose="020B0604020202020204" pitchFamily="34" charset="0"/>
            </a:rPr>
            <a:t>Anamix</a:t>
          </a:r>
          <a:r>
            <a:rPr lang="en-US" sz="900" b="1" baseline="0">
              <a:solidFill>
                <a:schemeClr val="bg1"/>
              </a:solidFill>
              <a:latin typeface="Arial" panose="020B0604020202020204" pitchFamily="34" charset="0"/>
              <a:cs typeface="Arial" panose="020B0604020202020204" pitchFamily="34" charset="0"/>
            </a:rPr>
            <a:t> Early Years</a:t>
          </a:r>
          <a:endParaRPr lang="en-US" sz="900" b="1">
            <a:solidFill>
              <a:schemeClr val="bg1"/>
            </a:solidFill>
            <a:latin typeface="Arial" panose="020B0604020202020204" pitchFamily="34" charset="0"/>
            <a:cs typeface="Arial" panose="020B0604020202020204" pitchFamily="34" charset="0"/>
          </a:endParaRPr>
        </a:p>
      </xdr:txBody>
    </xdr:sp>
    <xdr:clientData/>
  </xdr:twoCellAnchor>
  <xdr:twoCellAnchor>
    <xdr:from>
      <xdr:col>10</xdr:col>
      <xdr:colOff>563860</xdr:colOff>
      <xdr:row>30</xdr:row>
      <xdr:rowOff>14772</xdr:rowOff>
    </xdr:from>
    <xdr:to>
      <xdr:col>14</xdr:col>
      <xdr:colOff>244493</xdr:colOff>
      <xdr:row>32</xdr:row>
      <xdr:rowOff>161976</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6211625" y="5774596"/>
          <a:ext cx="2101103" cy="5282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F0000"/>
              </a:solidFill>
              <a:effectLst/>
              <a:latin typeface="Arial Rounded MT Bold" panose="020F0704030504030204" pitchFamily="34" charset="0"/>
            </a:rPr>
            <a:t>Click here to visit the tab you need!   </a:t>
          </a:r>
        </a:p>
      </xdr:txBody>
    </xdr:sp>
    <xdr:clientData/>
  </xdr:twoCellAnchor>
  <xdr:twoCellAnchor>
    <xdr:from>
      <xdr:col>12</xdr:col>
      <xdr:colOff>378146</xdr:colOff>
      <xdr:row>32</xdr:row>
      <xdr:rowOff>114380</xdr:rowOff>
    </xdr:from>
    <xdr:to>
      <xdr:col>12</xdr:col>
      <xdr:colOff>389393</xdr:colOff>
      <xdr:row>34</xdr:row>
      <xdr:rowOff>1</xdr:rowOff>
    </xdr:to>
    <xdr:cxnSp macro="">
      <xdr:nvCxnSpPr>
        <xdr:cNvPr id="14" name="Straight Arrow Connector 13">
          <a:extLst>
            <a:ext uri="{FF2B5EF4-FFF2-40B4-BE49-F238E27FC236}">
              <a16:creationId xmlns:a16="http://schemas.microsoft.com/office/drawing/2014/main" id="{00000000-0008-0000-0000-00000E000000}"/>
            </a:ext>
          </a:extLst>
        </xdr:cNvPr>
        <xdr:cNvCxnSpPr>
          <a:endCxn id="9" idx="0"/>
        </xdr:cNvCxnSpPr>
      </xdr:nvCxnSpPr>
      <xdr:spPr>
        <a:xfrm>
          <a:off x="7617146" y="5829380"/>
          <a:ext cx="11247" cy="239407"/>
        </a:xfrm>
        <a:prstGeom prst="straightConnector1">
          <a:avLst/>
        </a:prstGeom>
        <a:ln w="317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244493</xdr:colOff>
      <xdr:row>31</xdr:row>
      <xdr:rowOff>88374</xdr:rowOff>
    </xdr:from>
    <xdr:to>
      <xdr:col>17</xdr:col>
      <xdr:colOff>134471</xdr:colOff>
      <xdr:row>33</xdr:row>
      <xdr:rowOff>134470</xdr:rowOff>
    </xdr:to>
    <xdr:cxnSp macro="">
      <xdr:nvCxnSpPr>
        <xdr:cNvPr id="15" name="Straight Arrow Connector 14">
          <a:extLst>
            <a:ext uri="{FF2B5EF4-FFF2-40B4-BE49-F238E27FC236}">
              <a16:creationId xmlns:a16="http://schemas.microsoft.com/office/drawing/2014/main" id="{00000000-0008-0000-0000-00000F000000}"/>
            </a:ext>
          </a:extLst>
        </xdr:cNvPr>
        <xdr:cNvCxnSpPr>
          <a:stCxn id="13" idx="3"/>
        </xdr:cNvCxnSpPr>
      </xdr:nvCxnSpPr>
      <xdr:spPr>
        <a:xfrm>
          <a:off x="8312728" y="6038698"/>
          <a:ext cx="1705331" cy="427096"/>
        </a:xfrm>
        <a:prstGeom prst="straightConnector1">
          <a:avLst/>
        </a:prstGeom>
        <a:ln w="317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178594</xdr:colOff>
      <xdr:row>31</xdr:row>
      <xdr:rowOff>46438</xdr:rowOff>
    </xdr:from>
    <xdr:to>
      <xdr:col>10</xdr:col>
      <xdr:colOff>578210</xdr:colOff>
      <xdr:row>33</xdr:row>
      <xdr:rowOff>95250</xdr:rowOff>
    </xdr:to>
    <xdr:cxnSp macro="">
      <xdr:nvCxnSpPr>
        <xdr:cNvPr id="17" name="Straight Arrow Connector 16">
          <a:extLst>
            <a:ext uri="{FF2B5EF4-FFF2-40B4-BE49-F238E27FC236}">
              <a16:creationId xmlns:a16="http://schemas.microsoft.com/office/drawing/2014/main" id="{00000000-0008-0000-0000-000011000000}"/>
            </a:ext>
          </a:extLst>
        </xdr:cNvPr>
        <xdr:cNvCxnSpPr/>
      </xdr:nvCxnSpPr>
      <xdr:spPr>
        <a:xfrm flipH="1">
          <a:off x="3607594" y="5630469"/>
          <a:ext cx="2971366" cy="406000"/>
        </a:xfrm>
        <a:prstGeom prst="straightConnector1">
          <a:avLst/>
        </a:prstGeom>
        <a:ln w="317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47623</xdr:colOff>
      <xdr:row>34</xdr:row>
      <xdr:rowOff>95249</xdr:rowOff>
    </xdr:from>
    <xdr:to>
      <xdr:col>6</xdr:col>
      <xdr:colOff>525607</xdr:colOff>
      <xdr:row>38</xdr:row>
      <xdr:rowOff>315</xdr:rowOff>
    </xdr:to>
    <xdr:sp macro="" textlink="">
      <xdr:nvSpPr>
        <xdr:cNvPr id="20" name="TextBox 19">
          <a:hlinkClick xmlns:r="http://schemas.openxmlformats.org/officeDocument/2006/relationships" r:id="rId4"/>
          <a:extLst>
            <a:ext uri="{FF2B5EF4-FFF2-40B4-BE49-F238E27FC236}">
              <a16:creationId xmlns:a16="http://schemas.microsoft.com/office/drawing/2014/main" id="{00000000-0008-0000-0000-000014000000}"/>
            </a:ext>
          </a:extLst>
        </xdr:cNvPr>
        <xdr:cNvSpPr txBox="1"/>
      </xdr:nvSpPr>
      <xdr:spPr>
        <a:xfrm>
          <a:off x="2833686" y="6215062"/>
          <a:ext cx="1120921" cy="619441"/>
        </a:xfrm>
        <a:prstGeom prst="rect">
          <a:avLst/>
        </a:prstGeom>
        <a:solidFill>
          <a:schemeClr val="accent4">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MMA/PA Anamix Next </a:t>
          </a:r>
          <a:r>
            <a:rPr lang="en-US" sz="1100" b="1" baseline="0">
              <a:solidFill>
                <a:schemeClr val="dk1"/>
              </a:solidFill>
              <a:effectLst/>
              <a:latin typeface="+mn-lt"/>
              <a:ea typeface="+mn-ea"/>
              <a:cs typeface="+mn-cs"/>
            </a:rPr>
            <a:t>DRIs</a:t>
          </a:r>
          <a:endParaRPr lang="en-US" sz="900">
            <a:effectLst/>
          </a:endParaRPr>
        </a:p>
      </xdr:txBody>
    </xdr:sp>
    <xdr:clientData/>
  </xdr:twoCellAnchor>
  <xdr:twoCellAnchor>
    <xdr:from>
      <xdr:col>17</xdr:col>
      <xdr:colOff>438150</xdr:colOff>
      <xdr:row>34</xdr:row>
      <xdr:rowOff>54614</xdr:rowOff>
    </xdr:from>
    <xdr:to>
      <xdr:col>22</xdr:col>
      <xdr:colOff>261937</xdr:colOff>
      <xdr:row>37</xdr:row>
      <xdr:rowOff>122237</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10804525" y="6293489"/>
          <a:ext cx="2998787" cy="615311"/>
        </a:xfrm>
        <a:prstGeom prst="rect">
          <a:avLst/>
        </a:prstGeom>
        <a:solidFill>
          <a:schemeClr val="accent5">
            <a:lumMod val="40000"/>
            <a:lumOff val="60000"/>
          </a:schemeClr>
        </a:solidFill>
        <a:ln w="19050" cmpd="sng">
          <a:no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Transition </a:t>
          </a:r>
          <a:r>
            <a:rPr lang="en-US" sz="1100" b="1" i="1">
              <a:solidFill>
                <a:sysClr val="windowText" lastClr="000000"/>
              </a:solidFill>
              <a:effectLst/>
              <a:latin typeface="+mn-lt"/>
              <a:ea typeface="+mn-ea"/>
              <a:cs typeface="+mn-cs"/>
            </a:rPr>
            <a:t>from</a:t>
          </a:r>
          <a:r>
            <a:rPr lang="en-US" sz="1100" b="1">
              <a:solidFill>
                <a:sysClr val="windowText" lastClr="000000"/>
              </a:solidFill>
              <a:effectLst/>
              <a:latin typeface="+mn-lt"/>
              <a:ea typeface="+mn-ea"/>
              <a:cs typeface="+mn-cs"/>
            </a:rPr>
            <a:t> </a:t>
          </a:r>
        </a:p>
        <a:p>
          <a:pPr marL="0" marR="0" indent="0" algn="l"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Mead Johnson's</a:t>
          </a:r>
          <a:r>
            <a:rPr lang="en-US" sz="1100" b="1" baseline="0">
              <a:solidFill>
                <a:sysClr val="windowText" lastClr="000000"/>
              </a:solidFill>
              <a:effectLst/>
              <a:latin typeface="+mn-lt"/>
              <a:ea typeface="+mn-ea"/>
              <a:cs typeface="+mn-cs"/>
            </a:rPr>
            <a:t> </a:t>
          </a:r>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OA1®</a:t>
          </a:r>
        </a:p>
      </xdr:txBody>
    </xdr:sp>
    <xdr:clientData/>
  </xdr:twoCellAnchor>
  <xdr:twoCellAnchor>
    <xdr:from>
      <xdr:col>15</xdr:col>
      <xdr:colOff>581024</xdr:colOff>
      <xdr:row>11</xdr:row>
      <xdr:rowOff>134471</xdr:rowOff>
    </xdr:from>
    <xdr:to>
      <xdr:col>20</xdr:col>
      <xdr:colOff>428625</xdr:colOff>
      <xdr:row>29</xdr:row>
      <xdr:rowOff>33617</xdr:rowOff>
    </xdr:to>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9254377" y="2274795"/>
          <a:ext cx="2873189" cy="3328146"/>
        </a:xfrm>
        <a:prstGeom prst="roundRect">
          <a:avLst>
            <a:gd name="adj" fmla="val 4488"/>
          </a:avLst>
        </a:prstGeom>
        <a:solidFill>
          <a:schemeClr val="accent6">
            <a:lumMod val="40000"/>
            <a:lumOff val="60000"/>
          </a:schemeClr>
        </a:solidFill>
        <a:ln/>
        <a:effectLst>
          <a:outerShdw blurRad="50800" dist="50800" dir="5400000" algn="ctr" rotWithShape="0">
            <a:srgbClr val="000000">
              <a:alpha val="0"/>
            </a:srgb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eaLnBrk="1" fontAlgn="auto" latinLnBrk="0" hangingPunct="1"/>
          <a:r>
            <a:rPr lang="en-US" sz="900" b="0">
              <a:solidFill>
                <a:sysClr val="windowText" lastClr="000000"/>
              </a:solidFill>
              <a:effectLst/>
              <a:latin typeface="+mn-lt"/>
              <a:ea typeface="+mn-ea"/>
              <a:cs typeface="Arial" panose="020B0604020202020204" pitchFamily="34" charset="0"/>
            </a:rPr>
            <a:t>- </a:t>
          </a:r>
          <a:r>
            <a:rPr lang="en-US" sz="900" b="0" baseline="0">
              <a:solidFill>
                <a:sysClr val="windowText" lastClr="000000"/>
              </a:solidFill>
              <a:effectLst/>
              <a:latin typeface="+mn-lt"/>
              <a:ea typeface="+mn-ea"/>
              <a:cs typeface="Arial" panose="020B0604020202020204" pitchFamily="34" charset="0"/>
            </a:rPr>
            <a:t>Propimex</a:t>
          </a:r>
          <a:r>
            <a:rPr lang="en-US" sz="900" b="0" baseline="30000">
              <a:solidFill>
                <a:sysClr val="windowText" lastClr="000000"/>
              </a:solidFill>
              <a:effectLst/>
              <a:latin typeface="+mn-lt"/>
              <a:ea typeface="+mn-ea"/>
              <a:cs typeface="Arial" panose="020B0604020202020204" pitchFamily="34" charset="0"/>
            </a:rPr>
            <a:t>®</a:t>
          </a:r>
          <a:r>
            <a:rPr lang="en-US" sz="900" b="0" baseline="0">
              <a:solidFill>
                <a:sysClr val="windowText" lastClr="000000"/>
              </a:solidFill>
              <a:effectLst/>
              <a:latin typeface="+mn-lt"/>
              <a:ea typeface="+mn-ea"/>
              <a:cs typeface="Arial" panose="020B0604020202020204" pitchFamily="34" charset="0"/>
            </a:rPr>
            <a:t>-1 to MMA/PA Anamix</a:t>
          </a:r>
          <a:r>
            <a:rPr lang="en-US" sz="900" b="0" baseline="30000">
              <a:solidFill>
                <a:sysClr val="windowText" lastClr="000000"/>
              </a:solidFill>
              <a:effectLst/>
              <a:latin typeface="+mn-lt"/>
              <a:ea typeface="+mn-ea"/>
              <a:cs typeface="Arial" panose="020B0604020202020204" pitchFamily="34" charset="0"/>
            </a:rPr>
            <a:t>®</a:t>
          </a:r>
          <a:r>
            <a:rPr lang="en-US" sz="900" b="0" baseline="0">
              <a:solidFill>
                <a:sysClr val="windowText" lastClr="000000"/>
              </a:solidFill>
              <a:effectLst/>
              <a:latin typeface="+mn-lt"/>
              <a:ea typeface="+mn-ea"/>
              <a:cs typeface="Arial" panose="020B0604020202020204" pitchFamily="34" charset="0"/>
            </a:rPr>
            <a:t> Early Years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Propimex</a:t>
          </a:r>
          <a:r>
            <a:rPr kumimoji="0" lang="en-US" sz="900" b="0" i="0" u="none" strike="noStrike" kern="0" cap="none" spc="0" normalizeH="0" baseline="30000" noProof="0">
              <a:ln>
                <a:noFill/>
              </a:ln>
              <a:solidFill>
                <a:sysClr val="windowText" lastClr="000000"/>
              </a:solidFill>
              <a:effectLst/>
              <a:uLnTx/>
              <a:uFillTx/>
              <a:latin typeface="+mn-lt"/>
              <a:ea typeface="+mn-ea"/>
              <a:cs typeface="Arial" panose="020B0604020202020204" pitchFamily="34" charset="0"/>
            </a:rPr>
            <a:t>®</a:t>
          </a:r>
          <a:r>
            <a:rPr lang="en-US" sz="900" b="0" baseline="0">
              <a:solidFill>
                <a:schemeClr val="dk1"/>
              </a:solidFill>
              <a:effectLst/>
              <a:latin typeface="+mn-lt"/>
              <a:ea typeface="+mn-ea"/>
              <a:cs typeface="+mn-cs"/>
            </a:rPr>
            <a:t>-1 </a:t>
          </a:r>
          <a:r>
            <a:rPr kumimoji="0" lang="en-US" sz="9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lang="en-US" sz="900" b="0" baseline="0">
              <a:solidFill>
                <a:schemeClr val="dk1"/>
              </a:solidFill>
              <a:effectLst/>
              <a:latin typeface="+mn-lt"/>
              <a:ea typeface="+mn-ea"/>
              <a:cs typeface="+mn-cs"/>
            </a:rPr>
            <a:t>to MMAPA Anamix</a:t>
          </a:r>
          <a:r>
            <a:rPr lang="en-US" sz="900" b="0" baseline="30000">
              <a:solidFill>
                <a:schemeClr val="dk1"/>
              </a:solidFill>
              <a:effectLst/>
              <a:latin typeface="+mn-lt"/>
              <a:ea typeface="+mn-ea"/>
              <a:cs typeface="+mn-cs"/>
            </a:rPr>
            <a:t>®</a:t>
          </a:r>
          <a:r>
            <a:rPr lang="en-US" sz="900" b="0" baseline="0">
              <a:solidFill>
                <a:schemeClr val="dk1"/>
              </a:solidFill>
              <a:effectLst/>
              <a:latin typeface="+mn-lt"/>
              <a:ea typeface="+mn-ea"/>
              <a:cs typeface="+mn-cs"/>
            </a:rPr>
            <a:t> Next</a:t>
          </a:r>
          <a:endParaRPr kumimoji="0" lang="en-US" sz="9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eaLnBrk="1" fontAlgn="auto" latinLnBrk="0" hangingPunct="1"/>
          <a:r>
            <a:rPr lang="en-US" sz="900" b="0">
              <a:solidFill>
                <a:schemeClr val="dk1"/>
              </a:solidFill>
              <a:effectLst/>
              <a:latin typeface="+mn-lt"/>
              <a:ea typeface="+mn-ea"/>
              <a:cs typeface="+mn-cs"/>
            </a:rPr>
            <a:t>- </a:t>
          </a:r>
          <a:r>
            <a:rPr lang="en-US" sz="900" b="0" baseline="0">
              <a:solidFill>
                <a:schemeClr val="dk1"/>
              </a:solidFill>
              <a:effectLst/>
              <a:latin typeface="+mn-lt"/>
              <a:ea typeface="+mn-ea"/>
              <a:cs typeface="+mn-cs"/>
            </a:rPr>
            <a:t>OA1</a:t>
          </a:r>
          <a:r>
            <a:rPr lang="en-US" sz="900" b="0" baseline="30000">
              <a:solidFill>
                <a:schemeClr val="dk1"/>
              </a:solidFill>
              <a:effectLst/>
              <a:latin typeface="+mn-lt"/>
              <a:ea typeface="+mn-ea"/>
              <a:cs typeface="+mn-cs"/>
            </a:rPr>
            <a:t>®</a:t>
          </a:r>
          <a:r>
            <a:rPr lang="en-US" sz="900" b="0" baseline="0">
              <a:solidFill>
                <a:schemeClr val="dk1"/>
              </a:solidFill>
              <a:effectLst/>
              <a:latin typeface="+mn-lt"/>
              <a:ea typeface="+mn-ea"/>
              <a:cs typeface="+mn-cs"/>
            </a:rPr>
            <a:t> to MMA/PA Anamix</a:t>
          </a:r>
          <a:r>
            <a:rPr lang="en-US" sz="900" b="0" baseline="30000">
              <a:solidFill>
                <a:schemeClr val="dk1"/>
              </a:solidFill>
              <a:effectLst/>
              <a:latin typeface="+mn-lt"/>
              <a:ea typeface="+mn-ea"/>
              <a:cs typeface="+mn-cs"/>
            </a:rPr>
            <a:t>®</a:t>
          </a:r>
          <a:r>
            <a:rPr lang="en-US" sz="900" b="0" baseline="0">
              <a:solidFill>
                <a:schemeClr val="dk1"/>
              </a:solidFill>
              <a:effectLst/>
              <a:latin typeface="+mn-lt"/>
              <a:ea typeface="+mn-ea"/>
              <a:cs typeface="+mn-cs"/>
            </a:rPr>
            <a:t> Early Years</a:t>
          </a:r>
          <a:endParaRPr lang="en-US" sz="900">
            <a:effectLst/>
          </a:endParaRPr>
        </a:p>
        <a:p>
          <a:pPr eaLnBrk="1" fontAlgn="auto" latinLnBrk="0" hangingPunct="1"/>
          <a:r>
            <a:rPr lang="en-US" sz="900" b="0" i="0" baseline="0">
              <a:solidFill>
                <a:schemeClr val="dk1"/>
              </a:solidFill>
              <a:effectLst/>
              <a:latin typeface="+mn-lt"/>
              <a:ea typeface="+mn-ea"/>
              <a:cs typeface="+mn-cs"/>
            </a:rPr>
            <a:t>- OA2</a:t>
          </a:r>
          <a:r>
            <a:rPr lang="en-US" sz="900" b="0" baseline="30000">
              <a:solidFill>
                <a:schemeClr val="dk1"/>
              </a:solidFill>
              <a:effectLst/>
              <a:latin typeface="+mn-lt"/>
              <a:ea typeface="+mn-ea"/>
              <a:cs typeface="+mn-cs"/>
            </a:rPr>
            <a:t>®</a:t>
          </a:r>
          <a:r>
            <a:rPr lang="en-US" sz="900" b="0" baseline="0">
              <a:solidFill>
                <a:schemeClr val="dk1"/>
              </a:solidFill>
              <a:effectLst/>
              <a:latin typeface="+mn-lt"/>
              <a:ea typeface="+mn-ea"/>
              <a:cs typeface="+mn-cs"/>
            </a:rPr>
            <a:t> to  MMA/PA Anamix</a:t>
          </a:r>
          <a:r>
            <a:rPr lang="en-US" sz="900" b="0" baseline="30000">
              <a:solidFill>
                <a:schemeClr val="dk1"/>
              </a:solidFill>
              <a:effectLst/>
              <a:latin typeface="+mn-lt"/>
              <a:ea typeface="+mn-ea"/>
              <a:cs typeface="+mn-cs"/>
            </a:rPr>
            <a:t>®</a:t>
          </a:r>
          <a:r>
            <a:rPr lang="en-US" sz="900" b="0" baseline="0">
              <a:solidFill>
                <a:schemeClr val="dk1"/>
              </a:solidFill>
              <a:effectLst/>
              <a:latin typeface="+mn-lt"/>
              <a:ea typeface="+mn-ea"/>
              <a:cs typeface="+mn-cs"/>
            </a:rPr>
            <a:t> Next</a:t>
          </a:r>
          <a:endParaRPr lang="en-US" sz="900">
            <a:effectLst/>
          </a:endParaRPr>
        </a:p>
        <a:p>
          <a:pPr algn="ctr" eaLnBrk="1" fontAlgn="auto" latinLnBrk="0" hangingPunct="1"/>
          <a:endParaRPr lang="en-US" sz="900">
            <a:solidFill>
              <a:srgbClr val="FF0000"/>
            </a:solidFill>
            <a:effectLst/>
            <a:latin typeface="+mn-lt"/>
            <a:cs typeface="Arial" panose="020B0604020202020204" pitchFamily="34" charset="0"/>
          </a:endParaRPr>
        </a:p>
        <a:p>
          <a:pPr algn="ctr"/>
          <a:r>
            <a:rPr lang="en-US" sz="1200" b="1" u="sng">
              <a:solidFill>
                <a:sysClr val="windowText" lastClr="000000"/>
              </a:solidFill>
              <a:effectLst/>
              <a:latin typeface="+mn-lt"/>
              <a:ea typeface="+mn-ea"/>
              <a:cs typeface="Arial" panose="020B0604020202020204" pitchFamily="34" charset="0"/>
            </a:rPr>
            <a:t>Transitioning from Other Brands</a:t>
          </a:r>
          <a:r>
            <a:rPr lang="en-US" sz="1200" b="1" u="sng" baseline="0">
              <a:solidFill>
                <a:sysClr val="windowText" lastClr="000000"/>
              </a:solidFill>
              <a:effectLst/>
              <a:latin typeface="+mn-lt"/>
              <a:ea typeface="+mn-ea"/>
              <a:cs typeface="Arial" panose="020B0604020202020204" pitchFamily="34" charset="0"/>
            </a:rPr>
            <a:t> </a:t>
          </a:r>
        </a:p>
        <a:p>
          <a:pPr algn="ctr"/>
          <a:r>
            <a:rPr lang="en-US" sz="1200" b="1" u="sng" baseline="0">
              <a:solidFill>
                <a:sysClr val="windowText" lastClr="000000"/>
              </a:solidFill>
              <a:effectLst/>
              <a:latin typeface="+mn-lt"/>
              <a:ea typeface="+mn-ea"/>
              <a:cs typeface="Arial" panose="020B0604020202020204" pitchFamily="34" charset="0"/>
            </a:rPr>
            <a:t>to Anamix</a:t>
          </a:r>
        </a:p>
        <a:p>
          <a:pPr algn="ctr"/>
          <a:endParaRPr lang="en-US" sz="1000">
            <a:solidFill>
              <a:srgbClr val="FF0000"/>
            </a:solidFill>
            <a:effectLst/>
            <a:latin typeface="+mn-lt"/>
            <a:cs typeface="Arial" panose="020B0604020202020204" pitchFamily="34" charset="0"/>
          </a:endParaRPr>
        </a:p>
        <a:p>
          <a:r>
            <a:rPr lang="en-US" sz="1100">
              <a:solidFill>
                <a:srgbClr val="FF0000"/>
              </a:solidFill>
              <a:effectLst/>
              <a:latin typeface="+mn-lt"/>
              <a:ea typeface="+mn-ea"/>
              <a:cs typeface="Arial" panose="020B0604020202020204" pitchFamily="34" charset="0"/>
            </a:rPr>
            <a:t>Please refer to the "Propimex-1</a:t>
          </a:r>
          <a:r>
            <a:rPr lang="en-US" sz="1100" baseline="0">
              <a:solidFill>
                <a:srgbClr val="FF0000"/>
              </a:solidFill>
              <a:effectLst/>
              <a:latin typeface="+mn-lt"/>
              <a:ea typeface="+mn-ea"/>
              <a:cs typeface="Arial" panose="020B0604020202020204" pitchFamily="34" charset="0"/>
            </a:rPr>
            <a:t> to Early Yrs", "Abbott </a:t>
          </a:r>
          <a:r>
            <a:rPr lang="en-US" sz="1100" baseline="0">
              <a:solidFill>
                <a:srgbClr val="FF0000"/>
              </a:solidFill>
              <a:effectLst/>
              <a:latin typeface="+mn-lt"/>
              <a:ea typeface="+mn-ea"/>
              <a:cs typeface="+mn-cs"/>
            </a:rPr>
            <a:t>Propimex</a:t>
          </a:r>
          <a:r>
            <a:rPr lang="en-US" sz="1100">
              <a:solidFill>
                <a:srgbClr val="FF0000"/>
              </a:solidFill>
              <a:effectLst/>
              <a:latin typeface="+mn-lt"/>
              <a:ea typeface="+mn-ea"/>
              <a:cs typeface="+mn-cs"/>
            </a:rPr>
            <a:t>-1</a:t>
          </a:r>
          <a:r>
            <a:rPr kumimoji="0" lang="en-US" sz="1100" b="0" i="0" u="none" strike="noStrike" kern="0" cap="none" spc="0" normalizeH="0" baseline="0" noProof="0">
              <a:ln>
                <a:noFill/>
              </a:ln>
              <a:solidFill>
                <a:srgbClr val="FF0000"/>
              </a:solidFill>
              <a:effectLst/>
              <a:uLnTx/>
              <a:uFillTx/>
              <a:latin typeface="+mn-lt"/>
              <a:ea typeface="+mn-ea"/>
              <a:cs typeface="Arial" panose="020B0604020202020204" pitchFamily="34" charset="0"/>
            </a:rPr>
            <a:t> to Next</a:t>
          </a:r>
          <a:r>
            <a:rPr lang="en-US" sz="1100" baseline="0">
              <a:solidFill>
                <a:srgbClr val="FF0000"/>
              </a:solidFill>
              <a:effectLst/>
              <a:latin typeface="+mn-lt"/>
              <a:ea typeface="+mn-ea"/>
              <a:cs typeface="Arial" panose="020B0604020202020204" pitchFamily="34" charset="0"/>
            </a:rPr>
            <a:t>", "MJ OA1 to Early Yrs", &amp; MJ OA2 to NextL". T</a:t>
          </a:r>
          <a:r>
            <a:rPr lang="en-US" sz="1100">
              <a:solidFill>
                <a:srgbClr val="FF0000"/>
              </a:solidFill>
              <a:effectLst/>
              <a:latin typeface="+mn-lt"/>
              <a:ea typeface="+mn-ea"/>
              <a:cs typeface="Arial" panose="020B0604020202020204" pitchFamily="34" charset="0"/>
            </a:rPr>
            <a:t>abs at the bottom of the page.</a:t>
          </a:r>
          <a:endParaRPr lang="en-US" sz="900">
            <a:solidFill>
              <a:srgbClr val="FF0000"/>
            </a:solidFill>
            <a:effectLst/>
            <a:latin typeface="+mn-lt"/>
            <a:cs typeface="Arial" panose="020B0604020202020204" pitchFamily="34" charset="0"/>
          </a:endParaRPr>
        </a:p>
        <a:p>
          <a:r>
            <a:rPr lang="en-US" sz="1100">
              <a:solidFill>
                <a:srgbClr val="FF0000"/>
              </a:solidFill>
              <a:effectLst/>
              <a:latin typeface="+mn-lt"/>
              <a:ea typeface="+mn-ea"/>
              <a:cs typeface="Arial" panose="020B0604020202020204" pitchFamily="34" charset="0"/>
            </a:rPr>
            <a:t> </a:t>
          </a:r>
          <a:endParaRPr lang="en-US" sz="900">
            <a:solidFill>
              <a:srgbClr val="FF0000"/>
            </a:solidFill>
            <a:effectLst/>
            <a:latin typeface="+mn-lt"/>
            <a:cs typeface="Arial" panose="020B0604020202020204" pitchFamily="34" charset="0"/>
          </a:endParaRPr>
        </a:p>
        <a:p>
          <a:r>
            <a:rPr lang="en-US" sz="1100">
              <a:solidFill>
                <a:sysClr val="windowText" lastClr="000000"/>
              </a:solidFill>
              <a:effectLst/>
              <a:latin typeface="+mn-lt"/>
              <a:ea typeface="+mn-ea"/>
              <a:cs typeface="Arial" panose="020B0604020202020204" pitchFamily="34" charset="0"/>
            </a:rPr>
            <a:t>In the bright yellow box type in the grams PE your patient</a:t>
          </a:r>
          <a:r>
            <a:rPr lang="en-US" sz="1100" baseline="0">
              <a:solidFill>
                <a:sysClr val="windowText" lastClr="000000"/>
              </a:solidFill>
              <a:effectLst/>
              <a:latin typeface="+mn-lt"/>
              <a:ea typeface="+mn-ea"/>
              <a:cs typeface="Arial" panose="020B0604020202020204" pitchFamily="34" charset="0"/>
            </a:rPr>
            <a:t> requires and press the enter key. </a:t>
          </a:r>
          <a:r>
            <a:rPr kumimoji="0" lang="en-US" sz="1100" b="0" i="0" u="none" strike="noStrike" kern="0" cap="none" spc="0" normalizeH="0" baseline="0" noProof="0">
              <a:ln>
                <a:noFill/>
              </a:ln>
              <a:solidFill>
                <a:prstClr val="black"/>
              </a:solidFill>
              <a:effectLst/>
              <a:uLnTx/>
              <a:uFillTx/>
              <a:latin typeface="+mn-lt"/>
              <a:ea typeface="+mn-ea"/>
              <a:cs typeface="Arial" panose="020B0604020202020204" pitchFamily="34" charset="0"/>
            </a:rPr>
            <a:t>You will then see multiple options for a step-by-step transition</a:t>
          </a:r>
          <a:endParaRPr lang="en-US" sz="900">
            <a:solidFill>
              <a:srgbClr val="FF0000"/>
            </a:solidFill>
            <a:effectLst/>
            <a:latin typeface="+mn-lt"/>
            <a:cs typeface="Arial" panose="020B0604020202020204" pitchFamily="34" charset="0"/>
          </a:endParaRPr>
        </a:p>
      </xdr:txBody>
    </xdr:sp>
    <xdr:clientData/>
  </xdr:twoCellAnchor>
  <xdr:twoCellAnchor>
    <xdr:from>
      <xdr:col>19</xdr:col>
      <xdr:colOff>261938</xdr:colOff>
      <xdr:row>32</xdr:row>
      <xdr:rowOff>68264</xdr:rowOff>
    </xdr:from>
    <xdr:to>
      <xdr:col>22</xdr:col>
      <xdr:colOff>255588</xdr:colOff>
      <xdr:row>33</xdr:row>
      <xdr:rowOff>149906</xdr:rowOff>
    </xdr:to>
    <xdr:sp macro="" textlink="">
      <xdr:nvSpPr>
        <xdr:cNvPr id="33" name="TextBox 32">
          <a:hlinkClick xmlns:r="http://schemas.openxmlformats.org/officeDocument/2006/relationships" r:id="rId5"/>
          <a:extLst>
            <a:ext uri="{FF2B5EF4-FFF2-40B4-BE49-F238E27FC236}">
              <a16:creationId xmlns:a16="http://schemas.microsoft.com/office/drawing/2014/main" id="{837088E9-7F3D-41A9-92F0-DE8EE2A8A6C6}"/>
            </a:ext>
          </a:extLst>
        </xdr:cNvPr>
        <xdr:cNvSpPr txBox="1"/>
      </xdr:nvSpPr>
      <xdr:spPr>
        <a:xfrm>
          <a:off x="11898313" y="5942014"/>
          <a:ext cx="1898650" cy="264205"/>
        </a:xfrm>
        <a:prstGeom prst="rect">
          <a:avLst/>
        </a:prstGeom>
        <a:solidFill>
          <a:schemeClr val="accent6">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solidFill>
                <a:schemeClr val="bg1"/>
              </a:solidFill>
              <a:latin typeface="Arial" panose="020B0604020202020204" pitchFamily="34" charset="0"/>
              <a:cs typeface="Arial" panose="020B0604020202020204" pitchFamily="34" charset="0"/>
            </a:rPr>
            <a:t>to MMA/PA Anamix </a:t>
          </a:r>
          <a:r>
            <a:rPr lang="en-US" sz="900" b="1" baseline="0">
              <a:solidFill>
                <a:schemeClr val="bg1"/>
              </a:solidFill>
              <a:latin typeface="Arial" panose="020B0604020202020204" pitchFamily="34" charset="0"/>
              <a:cs typeface="Arial" panose="020B0604020202020204" pitchFamily="34" charset="0"/>
            </a:rPr>
            <a:t>Next</a:t>
          </a:r>
          <a:endParaRPr lang="en-US" sz="900" b="1">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269875</xdr:colOff>
      <xdr:row>34</xdr:row>
      <xdr:rowOff>67315</xdr:rowOff>
    </xdr:from>
    <xdr:to>
      <xdr:col>22</xdr:col>
      <xdr:colOff>254000</xdr:colOff>
      <xdr:row>35</xdr:row>
      <xdr:rowOff>134937</xdr:rowOff>
    </xdr:to>
    <xdr:sp macro="" textlink="">
      <xdr:nvSpPr>
        <xdr:cNvPr id="37" name="TextBox 36">
          <a:hlinkClick xmlns:r="http://schemas.openxmlformats.org/officeDocument/2006/relationships" r:id="rId6"/>
          <a:extLst>
            <a:ext uri="{FF2B5EF4-FFF2-40B4-BE49-F238E27FC236}">
              <a16:creationId xmlns:a16="http://schemas.microsoft.com/office/drawing/2014/main" id="{908EA26E-D737-4146-830D-A6020BBD954F}"/>
            </a:ext>
          </a:extLst>
        </xdr:cNvPr>
        <xdr:cNvSpPr txBox="1"/>
      </xdr:nvSpPr>
      <xdr:spPr>
        <a:xfrm>
          <a:off x="11906250" y="6306190"/>
          <a:ext cx="1889125" cy="250185"/>
        </a:xfrm>
        <a:prstGeom prst="rect">
          <a:avLst/>
        </a:prstGeom>
        <a:solidFill>
          <a:schemeClr val="accent5">
            <a:lumMod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solidFill>
                <a:schemeClr val="bg1"/>
              </a:solidFill>
              <a:latin typeface="Arial" panose="020B0604020202020204" pitchFamily="34" charset="0"/>
              <a:cs typeface="Arial" panose="020B0604020202020204" pitchFamily="34" charset="0"/>
            </a:rPr>
            <a:t>to MMA/PA</a:t>
          </a:r>
          <a:r>
            <a:rPr lang="en-US" sz="900" b="1" baseline="0">
              <a:solidFill>
                <a:schemeClr val="bg1"/>
              </a:solidFill>
              <a:latin typeface="Arial" panose="020B0604020202020204" pitchFamily="34" charset="0"/>
              <a:cs typeface="Arial" panose="020B0604020202020204" pitchFamily="34" charset="0"/>
            </a:rPr>
            <a:t> </a:t>
          </a:r>
          <a:r>
            <a:rPr lang="en-US" sz="900" b="1">
              <a:solidFill>
                <a:schemeClr val="bg1"/>
              </a:solidFill>
              <a:latin typeface="Arial" panose="020B0604020202020204" pitchFamily="34" charset="0"/>
              <a:cs typeface="Arial" panose="020B0604020202020204" pitchFamily="34" charset="0"/>
            </a:rPr>
            <a:t>Anamix</a:t>
          </a:r>
          <a:r>
            <a:rPr lang="en-US" sz="900" b="1" baseline="0">
              <a:solidFill>
                <a:schemeClr val="bg1"/>
              </a:solidFill>
              <a:latin typeface="Arial" panose="020B0604020202020204" pitchFamily="34" charset="0"/>
              <a:cs typeface="Arial" panose="020B0604020202020204" pitchFamily="34" charset="0"/>
            </a:rPr>
            <a:t> Early Years</a:t>
          </a:r>
          <a:endParaRPr lang="en-US" sz="900" b="1">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269875</xdr:colOff>
      <xdr:row>36</xdr:row>
      <xdr:rowOff>31070</xdr:rowOff>
    </xdr:from>
    <xdr:to>
      <xdr:col>22</xdr:col>
      <xdr:colOff>258763</xdr:colOff>
      <xdr:row>37</xdr:row>
      <xdr:rowOff>115434</xdr:rowOff>
    </xdr:to>
    <xdr:sp macro="" textlink="">
      <xdr:nvSpPr>
        <xdr:cNvPr id="39" name="TextBox 38">
          <a:hlinkClick xmlns:r="http://schemas.openxmlformats.org/officeDocument/2006/relationships" r:id="rId7"/>
          <a:extLst>
            <a:ext uri="{FF2B5EF4-FFF2-40B4-BE49-F238E27FC236}">
              <a16:creationId xmlns:a16="http://schemas.microsoft.com/office/drawing/2014/main" id="{8E229029-089D-46F7-B14F-05C8EADBB58C}"/>
            </a:ext>
          </a:extLst>
        </xdr:cNvPr>
        <xdr:cNvSpPr txBox="1"/>
      </xdr:nvSpPr>
      <xdr:spPr>
        <a:xfrm>
          <a:off x="11906250" y="6635070"/>
          <a:ext cx="1893888" cy="266927"/>
        </a:xfrm>
        <a:prstGeom prst="rect">
          <a:avLst/>
        </a:prstGeom>
        <a:solidFill>
          <a:schemeClr val="accent5">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solidFill>
                <a:schemeClr val="bg1"/>
              </a:solidFill>
              <a:latin typeface="Arial" panose="020B0604020202020204" pitchFamily="34" charset="0"/>
              <a:cs typeface="Arial" panose="020B0604020202020204" pitchFamily="34" charset="0"/>
            </a:rPr>
            <a:t>to MMA/PA Anamix </a:t>
          </a:r>
          <a:r>
            <a:rPr lang="en-US" sz="900" b="1" baseline="0">
              <a:solidFill>
                <a:schemeClr val="bg1"/>
              </a:solidFill>
              <a:latin typeface="Arial" panose="020B0604020202020204" pitchFamily="34" charset="0"/>
              <a:cs typeface="Arial" panose="020B0604020202020204" pitchFamily="34" charset="0"/>
            </a:rPr>
            <a:t>Next</a:t>
          </a:r>
          <a:endParaRPr lang="en-US" sz="9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1</xdr:col>
      <xdr:colOff>508000</xdr:colOff>
      <xdr:row>2</xdr:row>
      <xdr:rowOff>45358</xdr:rowOff>
    </xdr:from>
    <xdr:to>
      <xdr:col>3</xdr:col>
      <xdr:colOff>535214</xdr:colOff>
      <xdr:row>11</xdr:row>
      <xdr:rowOff>31441</xdr:rowOff>
    </xdr:to>
    <xdr:pic>
      <xdr:nvPicPr>
        <xdr:cNvPr id="24" name="Picture 23" descr="MMA/PA Anamix® Early Years">
          <a:extLst>
            <a:ext uri="{FF2B5EF4-FFF2-40B4-BE49-F238E27FC236}">
              <a16:creationId xmlns:a16="http://schemas.microsoft.com/office/drawing/2014/main" id="{71C536E1-DC9A-4A47-B3CE-26B2AF49829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16643" y="426358"/>
          <a:ext cx="1315357" cy="1637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127001</xdr:colOff>
      <xdr:row>2</xdr:row>
      <xdr:rowOff>118581</xdr:rowOff>
    </xdr:from>
    <xdr:to>
      <xdr:col>23</xdr:col>
      <xdr:colOff>157583</xdr:colOff>
      <xdr:row>11</xdr:row>
      <xdr:rowOff>108856</xdr:rowOff>
    </xdr:to>
    <xdr:pic>
      <xdr:nvPicPr>
        <xdr:cNvPr id="25" name="Picture 24" descr="MMA/PA Anamix® Next">
          <a:extLst>
            <a:ext uri="{FF2B5EF4-FFF2-40B4-BE49-F238E27FC236}">
              <a16:creationId xmlns:a16="http://schemas.microsoft.com/office/drawing/2014/main" id="{CCB59915-438B-4B60-9C87-E5FD0FF39C83}"/>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17072" y="499581"/>
          <a:ext cx="1318725" cy="164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10584</xdr:colOff>
      <xdr:row>38</xdr:row>
      <xdr:rowOff>158750</xdr:rowOff>
    </xdr:from>
    <xdr:to>
      <xdr:col>12</xdr:col>
      <xdr:colOff>419292</xdr:colOff>
      <xdr:row>43</xdr:row>
      <xdr:rowOff>56886</xdr:rowOff>
    </xdr:to>
    <xdr:sp macro="" textlink="">
      <xdr:nvSpPr>
        <xdr:cNvPr id="3" name="TextBox 2">
          <a:extLst>
            <a:ext uri="{FF2B5EF4-FFF2-40B4-BE49-F238E27FC236}">
              <a16:creationId xmlns:a16="http://schemas.microsoft.com/office/drawing/2014/main" id="{7788FA20-7A6A-4DD3-981A-F22B86BC6C92}"/>
            </a:ext>
          </a:extLst>
        </xdr:cNvPr>
        <xdr:cNvSpPr txBox="1"/>
      </xdr:nvSpPr>
      <xdr:spPr>
        <a:xfrm>
          <a:off x="857251" y="7037917"/>
          <a:ext cx="6758708" cy="797719"/>
        </a:xfrm>
        <a:prstGeom prst="rect">
          <a:avLst/>
        </a:prstGeom>
        <a:solidFill>
          <a:schemeClr val="accent4">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sng">
              <a:latin typeface="Arial" panose="020B0604020202020204" pitchFamily="34" charset="0"/>
              <a:cs typeface="Arial" panose="020B0604020202020204" pitchFamily="34" charset="0"/>
            </a:rPr>
            <a:t>Further Questions/Assistance?</a:t>
          </a:r>
        </a:p>
        <a:p>
          <a:r>
            <a:rPr lang="en-US" sz="1100" i="1">
              <a:latin typeface="Arial" panose="020B0604020202020204" pitchFamily="34" charset="0"/>
              <a:cs typeface="Arial" panose="020B0604020202020204" pitchFamily="34" charset="0"/>
            </a:rPr>
            <a:t>Please reach out to our Nutrition Services Department:</a:t>
          </a:r>
          <a:endParaRPr lang="en-US" sz="1100">
            <a:latin typeface="Arial" panose="020B0604020202020204" pitchFamily="34" charset="0"/>
            <a:cs typeface="Arial" panose="020B0604020202020204" pitchFamily="34" charset="0"/>
          </a:endParaRPr>
        </a:p>
        <a:p>
          <a:r>
            <a:rPr lang="en-US" sz="2200" b="1">
              <a:solidFill>
                <a:srgbClr val="FF33CC"/>
              </a:solidFill>
              <a:latin typeface="Arial" panose="020B0604020202020204" pitchFamily="34" charset="0"/>
              <a:cs typeface="Arial" panose="020B0604020202020204" pitchFamily="34" charset="0"/>
            </a:rPr>
            <a:t>→</a:t>
          </a:r>
          <a:r>
            <a:rPr lang="en-US" sz="2200" b="1" baseline="0">
              <a:solidFill>
                <a:srgbClr val="FF33CC"/>
              </a:solidFill>
              <a:latin typeface="Arial" panose="020B0604020202020204" pitchFamily="34" charset="0"/>
              <a:cs typeface="Arial" panose="020B0604020202020204" pitchFamily="34" charset="0"/>
            </a:rPr>
            <a:t> </a:t>
          </a:r>
          <a:r>
            <a:rPr lang="en-US" sz="1100" b="0" u="none">
              <a:latin typeface="Arial" panose="020B0604020202020204" pitchFamily="34" charset="0"/>
              <a:cs typeface="Arial" panose="020B0604020202020204" pitchFamily="34" charset="0"/>
            </a:rPr>
            <a:t>Email</a:t>
          </a:r>
          <a:r>
            <a:rPr lang="en-US" sz="1100" b="1" u="none">
              <a:latin typeface="Arial" panose="020B0604020202020204" pitchFamily="34" charset="0"/>
              <a:cs typeface="Arial" panose="020B0604020202020204" pitchFamily="34" charset="0"/>
            </a:rPr>
            <a:t> NutritionServices@nutricia.com</a:t>
          </a:r>
          <a:r>
            <a:rPr lang="en-US" sz="1100" b="1" u="none" baseline="0">
              <a:latin typeface="Arial" panose="020B0604020202020204" pitchFamily="34" charset="0"/>
              <a:cs typeface="Arial" panose="020B0604020202020204" pitchFamily="34" charset="0"/>
            </a:rPr>
            <a:t> </a:t>
          </a:r>
          <a:r>
            <a:rPr lang="en-US" sz="1100" u="none" baseline="0">
              <a:latin typeface="Arial" panose="020B0604020202020204" pitchFamily="34" charset="0"/>
              <a:cs typeface="Arial" panose="020B0604020202020204" pitchFamily="34" charset="0"/>
            </a:rPr>
            <a:t>or call </a:t>
          </a:r>
          <a:r>
            <a:rPr lang="en-US" sz="1100" b="1" u="none" baseline="0">
              <a:latin typeface="Arial" panose="020B0604020202020204" pitchFamily="34" charset="0"/>
              <a:cs typeface="Arial" panose="020B0604020202020204" pitchFamily="34" charset="0"/>
            </a:rPr>
            <a:t>1-800-365-7354</a:t>
          </a:r>
          <a:r>
            <a:rPr lang="en-US" sz="1100" u="none" baseline="0">
              <a:latin typeface="Arial" panose="020B0604020202020204" pitchFamily="34" charset="0"/>
              <a:cs typeface="Arial" panose="020B0604020202020204" pitchFamily="34" charset="0"/>
            </a:rPr>
            <a:t> (</a:t>
          </a:r>
          <a:r>
            <a:rPr lang="en-US" sz="1100" u="none">
              <a:latin typeface="Arial" panose="020B0604020202020204" pitchFamily="34" charset="0"/>
              <a:cs typeface="Arial" panose="020B0604020202020204" pitchFamily="34" charset="0"/>
            </a:rPr>
            <a:t>Mon-Fri from 8:30 am</a:t>
          </a:r>
          <a:r>
            <a:rPr lang="en-US" sz="1100" u="none" baseline="0">
              <a:latin typeface="Arial" panose="020B0604020202020204" pitchFamily="34" charset="0"/>
              <a:cs typeface="Arial" panose="020B0604020202020204" pitchFamily="34" charset="0"/>
            </a:rPr>
            <a:t> - 5</a:t>
          </a:r>
          <a:r>
            <a:rPr lang="en-US" sz="1100" u="none">
              <a:latin typeface="Arial" panose="020B0604020202020204" pitchFamily="34" charset="0"/>
              <a:cs typeface="Arial" panose="020B0604020202020204" pitchFamily="34" charset="0"/>
            </a:rPr>
            <a:t> pm EST)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3</xdr:row>
      <xdr:rowOff>19050</xdr:rowOff>
    </xdr:from>
    <xdr:to>
      <xdr:col>10</xdr:col>
      <xdr:colOff>470430</xdr:colOff>
      <xdr:row>5</xdr:row>
      <xdr:rowOff>171450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7677150" y="1743075"/>
          <a:ext cx="1299105" cy="533400"/>
        </a:xfrm>
        <a:prstGeom prst="rect">
          <a:avLst/>
        </a:prstGeom>
        <a:solidFill>
          <a:srgbClr val="FFC000"/>
        </a:solidFill>
        <a:ln>
          <a:solidFill>
            <a:srgbClr val="7030A0"/>
          </a:solidFill>
        </a:ln>
        <a:effectLst>
          <a:outerShdw blurRad="50800" dist="38100" dir="2700000" algn="tl" rotWithShape="0">
            <a:prstClr val="black">
              <a:alpha val="40000"/>
            </a:prstClr>
          </a:outerShdw>
        </a:effectLst>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lang="en-US" sz="1400" b="1">
              <a:latin typeface="Arial" panose="020B0604020202020204" pitchFamily="34" charset="0"/>
              <a:cs typeface="Arial" panose="020B0604020202020204" pitchFamily="34" charset="0"/>
            </a:rPr>
            <a:t>Home</a:t>
          </a:r>
          <a:r>
            <a:rPr lang="en-US" sz="1400">
              <a:latin typeface="Arial Rounded MT Bold" panose="020F0704030504030204" pitchFamily="34" charset="0"/>
            </a:rPr>
            <a:t> </a:t>
          </a:r>
          <a:r>
            <a:rPr lang="en-US" sz="2400">
              <a:solidFill>
                <a:sysClr val="windowText" lastClr="000000"/>
              </a:solidFill>
              <a:latin typeface="Webdings" panose="05030102010509060703" pitchFamily="18" charset="2"/>
            </a:rPr>
            <a:t>H</a:t>
          </a:r>
        </a:p>
      </xdr:txBody>
    </xdr:sp>
    <xdr:clientData/>
  </xdr:twoCellAnchor>
  <xdr:twoCellAnchor editAs="oneCell">
    <xdr:from>
      <xdr:col>8</xdr:col>
      <xdr:colOff>71437</xdr:colOff>
      <xdr:row>0</xdr:row>
      <xdr:rowOff>119062</xdr:rowOff>
    </xdr:from>
    <xdr:to>
      <xdr:col>10</xdr:col>
      <xdr:colOff>392840</xdr:colOff>
      <xdr:row>2</xdr:row>
      <xdr:rowOff>558800</xdr:rowOff>
    </xdr:to>
    <xdr:pic>
      <xdr:nvPicPr>
        <xdr:cNvPr id="4" name="Picture 3" descr="MMA/PA Anamix® Early Years">
          <a:extLst>
            <a:ext uri="{FF2B5EF4-FFF2-40B4-BE49-F238E27FC236}">
              <a16:creationId xmlns:a16="http://schemas.microsoft.com/office/drawing/2014/main" id="{9DAEB5C9-6B0F-416C-9C5D-121F197D24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40687" y="119062"/>
          <a:ext cx="1269141" cy="1579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95250</xdr:colOff>
      <xdr:row>3</xdr:row>
      <xdr:rowOff>0</xdr:rowOff>
    </xdr:from>
    <xdr:to>
      <xdr:col>12</xdr:col>
      <xdr:colOff>495541</xdr:colOff>
      <xdr:row>6</xdr:row>
      <xdr:rowOff>46759</xdr:rowOff>
    </xdr:to>
    <xdr:sp macro="" textlink="">
      <xdr:nvSpPr>
        <xdr:cNvPr id="5" name="TextBox 4">
          <a:hlinkClick xmlns:r="http://schemas.openxmlformats.org/officeDocument/2006/relationships" r:id="rId1"/>
          <a:extLst>
            <a:ext uri="{FF2B5EF4-FFF2-40B4-BE49-F238E27FC236}">
              <a16:creationId xmlns:a16="http://schemas.microsoft.com/office/drawing/2014/main" id="{B92F9771-68E8-4C98-A7B1-AADDE2838A76}"/>
            </a:ext>
          </a:extLst>
        </xdr:cNvPr>
        <xdr:cNvSpPr txBox="1"/>
      </xdr:nvSpPr>
      <xdr:spPr>
        <a:xfrm>
          <a:off x="7827818" y="1731818"/>
          <a:ext cx="1292178" cy="618259"/>
        </a:xfrm>
        <a:prstGeom prst="rect">
          <a:avLst/>
        </a:prstGeom>
        <a:solidFill>
          <a:srgbClr val="FFCE33"/>
        </a:solidFill>
        <a:ln>
          <a:solidFill>
            <a:srgbClr val="7030A0"/>
          </a:solidFill>
        </a:ln>
        <a:effectLst>
          <a:outerShdw blurRad="50800" dist="38100" dir="2700000" algn="tl" rotWithShape="0">
            <a:prstClr val="black">
              <a:alpha val="40000"/>
            </a:prstClr>
          </a:outerShdw>
        </a:effectLst>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lang="en-US" sz="1400" b="1">
              <a:latin typeface="Arial" panose="020B0604020202020204" pitchFamily="34" charset="0"/>
              <a:cs typeface="Arial" panose="020B0604020202020204" pitchFamily="34" charset="0"/>
            </a:rPr>
            <a:t>Home</a:t>
          </a:r>
          <a:r>
            <a:rPr lang="en-US" sz="1400">
              <a:latin typeface="Arial Rounded MT Bold" panose="020F0704030504030204" pitchFamily="34" charset="0"/>
            </a:rPr>
            <a:t> </a:t>
          </a:r>
          <a:r>
            <a:rPr lang="en-US" sz="2400">
              <a:solidFill>
                <a:sysClr val="windowText" lastClr="000000"/>
              </a:solidFill>
              <a:latin typeface="Webdings" panose="05030102010509060703" pitchFamily="18" charset="2"/>
            </a:rPr>
            <a:t>H</a:t>
          </a:r>
        </a:p>
      </xdr:txBody>
    </xdr:sp>
    <xdr:clientData/>
  </xdr:twoCellAnchor>
  <xdr:twoCellAnchor editAs="oneCell">
    <xdr:from>
      <xdr:col>10</xdr:col>
      <xdr:colOff>47626</xdr:colOff>
      <xdr:row>0</xdr:row>
      <xdr:rowOff>150813</xdr:rowOff>
    </xdr:from>
    <xdr:to>
      <xdr:col>12</xdr:col>
      <xdr:colOff>206376</xdr:colOff>
      <xdr:row>2</xdr:row>
      <xdr:rowOff>380987</xdr:rowOff>
    </xdr:to>
    <xdr:pic>
      <xdr:nvPicPr>
        <xdr:cNvPr id="6" name="Picture 5" descr="MMA/PA Anamix® Next">
          <a:extLst>
            <a:ext uri="{FF2B5EF4-FFF2-40B4-BE49-F238E27FC236}">
              <a16:creationId xmlns:a16="http://schemas.microsoft.com/office/drawing/2014/main" id="{045B4643-7456-4F07-B429-EFC0FDB78D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3564" y="150813"/>
          <a:ext cx="1103312" cy="1373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285753</xdr:colOff>
      <xdr:row>17</xdr:row>
      <xdr:rowOff>18731</xdr:rowOff>
    </xdr:from>
    <xdr:to>
      <xdr:col>9</xdr:col>
      <xdr:colOff>426508</xdr:colOff>
      <xdr:row>18</xdr:row>
      <xdr:rowOff>171450</xdr:rowOff>
    </xdr:to>
    <xdr:cxnSp macro="">
      <xdr:nvCxnSpPr>
        <xdr:cNvPr id="4" name="Curved Connector 3">
          <a:extLst>
            <a:ext uri="{FF2B5EF4-FFF2-40B4-BE49-F238E27FC236}">
              <a16:creationId xmlns:a16="http://schemas.microsoft.com/office/drawing/2014/main" id="{00000000-0008-0000-0600-000004000000}"/>
            </a:ext>
          </a:extLst>
        </xdr:cNvPr>
        <xdr:cNvCxnSpPr>
          <a:cxnSpLocks/>
        </xdr:cNvCxnSpPr>
      </xdr:nvCxnSpPr>
      <xdr:spPr>
        <a:xfrm flipV="1">
          <a:off x="7010403" y="3914456"/>
          <a:ext cx="778930" cy="343219"/>
        </a:xfrm>
        <a:prstGeom prst="curvedConnector3">
          <a:avLst>
            <a:gd name="adj1" fmla="val 50000"/>
          </a:avLst>
        </a:prstGeom>
        <a:ln w="38100">
          <a:solidFill>
            <a:srgbClr val="7030A0"/>
          </a:solidFill>
          <a:tailEnd type="arrow"/>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0</xdr:row>
      <xdr:rowOff>123825</xdr:rowOff>
    </xdr:from>
    <xdr:to>
      <xdr:col>13</xdr:col>
      <xdr:colOff>499005</xdr:colOff>
      <xdr:row>1</xdr:row>
      <xdr:rowOff>85725</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600-000006000000}"/>
            </a:ext>
          </a:extLst>
        </xdr:cNvPr>
        <xdr:cNvSpPr txBox="1"/>
      </xdr:nvSpPr>
      <xdr:spPr>
        <a:xfrm>
          <a:off x="8343900" y="123825"/>
          <a:ext cx="1299105" cy="533400"/>
        </a:xfrm>
        <a:prstGeom prst="rect">
          <a:avLst/>
        </a:prstGeom>
        <a:solidFill>
          <a:srgbClr val="FFCE33"/>
        </a:solidFill>
        <a:ln>
          <a:solidFill>
            <a:srgbClr val="7030A0"/>
          </a:solidFill>
        </a:ln>
        <a:effectLst>
          <a:outerShdw blurRad="50800" dist="38100" dir="2700000" algn="tl" rotWithShape="0">
            <a:prstClr val="black">
              <a:alpha val="40000"/>
            </a:prstClr>
          </a:outerShdw>
        </a:effectLst>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lang="en-US" sz="1400" b="1">
              <a:latin typeface="Arial" panose="020B0604020202020204" pitchFamily="34" charset="0"/>
              <a:cs typeface="Arial" panose="020B0604020202020204" pitchFamily="34" charset="0"/>
            </a:rPr>
            <a:t>Home</a:t>
          </a:r>
          <a:r>
            <a:rPr lang="en-US" sz="1400">
              <a:latin typeface="Arial Rounded MT Bold" panose="020F0704030504030204" pitchFamily="34" charset="0"/>
            </a:rPr>
            <a:t> </a:t>
          </a:r>
          <a:r>
            <a:rPr lang="en-US" sz="2400">
              <a:solidFill>
                <a:sysClr val="windowText" lastClr="000000"/>
              </a:solidFill>
              <a:latin typeface="Webdings" panose="05030102010509060703" pitchFamily="18" charset="2"/>
            </a:rPr>
            <a:t>H</a:t>
          </a:r>
        </a:p>
      </xdr:txBody>
    </xdr:sp>
    <xdr:clientData/>
  </xdr:twoCellAnchor>
  <xdr:twoCellAnchor editAs="oneCell">
    <xdr:from>
      <xdr:col>6</xdr:col>
      <xdr:colOff>228601</xdr:colOff>
      <xdr:row>16</xdr:row>
      <xdr:rowOff>50800</xdr:rowOff>
    </xdr:from>
    <xdr:to>
      <xdr:col>8</xdr:col>
      <xdr:colOff>114301</xdr:colOff>
      <xdr:row>24</xdr:row>
      <xdr:rowOff>19081</xdr:rowOff>
    </xdr:to>
    <xdr:pic>
      <xdr:nvPicPr>
        <xdr:cNvPr id="8" name="Picture 7" descr="MMA/PA Anamix® Early Years">
          <a:extLst>
            <a:ext uri="{FF2B5EF4-FFF2-40B4-BE49-F238E27FC236}">
              <a16:creationId xmlns:a16="http://schemas.microsoft.com/office/drawing/2014/main" id="{4485CFC1-1E1F-4305-BB3A-C4690C7E23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89601" y="3797300"/>
          <a:ext cx="1168400" cy="1454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568325</xdr:colOff>
      <xdr:row>12</xdr:row>
      <xdr:rowOff>127001</xdr:rowOff>
    </xdr:from>
    <xdr:to>
      <xdr:col>11</xdr:col>
      <xdr:colOff>410339</xdr:colOff>
      <xdr:row>20</xdr:row>
      <xdr:rowOff>142876</xdr:rowOff>
    </xdr:to>
    <xdr:pic>
      <xdr:nvPicPr>
        <xdr:cNvPr id="9" name="Picture 8" descr="MMA/PA Anamix® Next">
          <a:extLst>
            <a:ext uri="{FF2B5EF4-FFF2-40B4-BE49-F238E27FC236}">
              <a16:creationId xmlns:a16="http://schemas.microsoft.com/office/drawing/2014/main" id="{CE6EAD8E-57C4-4B74-8E9C-4A3B0460677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53375" y="3130551"/>
          <a:ext cx="1204089" cy="149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245371</xdr:colOff>
      <xdr:row>18</xdr:row>
      <xdr:rowOff>103961</xdr:rowOff>
    </xdr:from>
    <xdr:to>
      <xdr:col>10</xdr:col>
      <xdr:colOff>111776</xdr:colOff>
      <xdr:row>23</xdr:row>
      <xdr:rowOff>407</xdr:rowOff>
    </xdr:to>
    <xdr:cxnSp macro="">
      <xdr:nvCxnSpPr>
        <xdr:cNvPr id="2" name="Curved Connector 1">
          <a:extLst>
            <a:ext uri="{FF2B5EF4-FFF2-40B4-BE49-F238E27FC236}">
              <a16:creationId xmlns:a16="http://schemas.microsoft.com/office/drawing/2014/main" id="{00000000-0008-0000-0900-000002000000}"/>
            </a:ext>
          </a:extLst>
        </xdr:cNvPr>
        <xdr:cNvCxnSpPr/>
      </xdr:nvCxnSpPr>
      <xdr:spPr>
        <a:xfrm flipV="1">
          <a:off x="6965788" y="4167961"/>
          <a:ext cx="1136405" cy="806613"/>
        </a:xfrm>
        <a:prstGeom prst="curvedConnector3">
          <a:avLst>
            <a:gd name="adj1" fmla="val 50000"/>
          </a:avLst>
        </a:prstGeom>
        <a:ln w="38100">
          <a:solidFill>
            <a:srgbClr val="7030A0"/>
          </a:solidFill>
          <a:tailEnd type="arrow"/>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78441</xdr:colOff>
      <xdr:row>0</xdr:row>
      <xdr:rowOff>123265</xdr:rowOff>
    </xdr:from>
    <xdr:to>
      <xdr:col>14</xdr:col>
      <xdr:colOff>476872</xdr:colOff>
      <xdr:row>1</xdr:row>
      <xdr:rowOff>84465</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900-000006000000}"/>
            </a:ext>
          </a:extLst>
        </xdr:cNvPr>
        <xdr:cNvSpPr txBox="1"/>
      </xdr:nvSpPr>
      <xdr:spPr>
        <a:xfrm>
          <a:off x="8919882" y="123265"/>
          <a:ext cx="1294902" cy="532700"/>
        </a:xfrm>
        <a:prstGeom prst="rect">
          <a:avLst/>
        </a:prstGeom>
        <a:solidFill>
          <a:srgbClr val="FFCE33"/>
        </a:solidFill>
        <a:ln>
          <a:solidFill>
            <a:srgbClr val="7030A0"/>
          </a:solidFill>
        </a:ln>
        <a:effectLst>
          <a:outerShdw blurRad="50800" dist="38100" dir="2700000" algn="tl" rotWithShape="0">
            <a:prstClr val="black">
              <a:alpha val="40000"/>
            </a:prstClr>
          </a:outerShdw>
        </a:effectLst>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lang="en-US" sz="1400" b="1">
              <a:latin typeface="Arial" panose="020B0604020202020204" pitchFamily="34" charset="0"/>
              <a:cs typeface="Arial" panose="020B0604020202020204" pitchFamily="34" charset="0"/>
            </a:rPr>
            <a:t>Home</a:t>
          </a:r>
          <a:r>
            <a:rPr lang="en-US" sz="1400">
              <a:latin typeface="Arial Rounded MT Bold" panose="020F0704030504030204" pitchFamily="34" charset="0"/>
            </a:rPr>
            <a:t> </a:t>
          </a:r>
          <a:r>
            <a:rPr lang="en-US" sz="2400">
              <a:solidFill>
                <a:sysClr val="windowText" lastClr="000000"/>
              </a:solidFill>
              <a:latin typeface="Webdings" panose="05030102010509060703" pitchFamily="18" charset="2"/>
            </a:rPr>
            <a:t>H</a:t>
          </a:r>
        </a:p>
      </xdr:txBody>
    </xdr:sp>
    <xdr:clientData/>
  </xdr:twoCellAnchor>
  <xdr:twoCellAnchor editAs="oneCell">
    <xdr:from>
      <xdr:col>10</xdr:col>
      <xdr:colOff>176388</xdr:colOff>
      <xdr:row>15</xdr:row>
      <xdr:rowOff>7056</xdr:rowOff>
    </xdr:from>
    <xdr:to>
      <xdr:col>12</xdr:col>
      <xdr:colOff>1058</xdr:colOff>
      <xdr:row>22</xdr:row>
      <xdr:rowOff>46021</xdr:rowOff>
    </xdr:to>
    <xdr:pic>
      <xdr:nvPicPr>
        <xdr:cNvPr id="7" name="Picture 6" descr="MMA/PA Anamix® Early Years">
          <a:extLst>
            <a:ext uri="{FF2B5EF4-FFF2-40B4-BE49-F238E27FC236}">
              <a16:creationId xmlns:a16="http://schemas.microsoft.com/office/drawing/2014/main" id="{B24D3E08-19E8-47DF-8658-34583E85C9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6777" y="3556000"/>
          <a:ext cx="1079500" cy="1343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134055</xdr:colOff>
      <xdr:row>19</xdr:row>
      <xdr:rowOff>120300</xdr:rowOff>
    </xdr:from>
    <xdr:to>
      <xdr:col>8</xdr:col>
      <xdr:colOff>216208</xdr:colOff>
      <xdr:row>27</xdr:row>
      <xdr:rowOff>0</xdr:rowOff>
    </xdr:to>
    <xdr:pic>
      <xdr:nvPicPr>
        <xdr:cNvPr id="8" name="Picture 7" descr="Propimex&lt;sup&gt;®&lt;/sup&gt;-1">
          <a:extLst>
            <a:ext uri="{FF2B5EF4-FFF2-40B4-BE49-F238E27FC236}">
              <a16:creationId xmlns:a16="http://schemas.microsoft.com/office/drawing/2014/main" id="{C089C0B3-116A-4CAA-B231-B5A3D1F9639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16222" y="4410078"/>
          <a:ext cx="1366264" cy="1361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71805</xdr:colOff>
      <xdr:row>18</xdr:row>
      <xdr:rowOff>149469</xdr:rowOff>
    </xdr:from>
    <xdr:to>
      <xdr:col>9</xdr:col>
      <xdr:colOff>570035</xdr:colOff>
      <xdr:row>23</xdr:row>
      <xdr:rowOff>39565</xdr:rowOff>
    </xdr:to>
    <xdr:cxnSp macro="">
      <xdr:nvCxnSpPr>
        <xdr:cNvPr id="2" name="Curved Connector 1">
          <a:extLst>
            <a:ext uri="{FF2B5EF4-FFF2-40B4-BE49-F238E27FC236}">
              <a16:creationId xmlns:a16="http://schemas.microsoft.com/office/drawing/2014/main" id="{9EE30BE7-58F5-4824-B3EF-54CDCB328722}"/>
            </a:ext>
          </a:extLst>
        </xdr:cNvPr>
        <xdr:cNvCxnSpPr/>
      </xdr:nvCxnSpPr>
      <xdr:spPr>
        <a:xfrm flipV="1">
          <a:off x="6510705" y="4378569"/>
          <a:ext cx="1107830" cy="852121"/>
        </a:xfrm>
        <a:prstGeom prst="curvedConnector3">
          <a:avLst>
            <a:gd name="adj1" fmla="val 50000"/>
          </a:avLst>
        </a:prstGeom>
        <a:ln w="38100">
          <a:solidFill>
            <a:srgbClr val="7030A0"/>
          </a:solidFill>
          <a:tailEnd type="arrow"/>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89648</xdr:colOff>
      <xdr:row>0</xdr:row>
      <xdr:rowOff>145677</xdr:rowOff>
    </xdr:from>
    <xdr:to>
      <xdr:col>14</xdr:col>
      <xdr:colOff>488079</xdr:colOff>
      <xdr:row>1</xdr:row>
      <xdr:rowOff>106877</xdr:rowOff>
    </xdr:to>
    <xdr:sp macro="" textlink="">
      <xdr:nvSpPr>
        <xdr:cNvPr id="5" name="TextBox 4">
          <a:hlinkClick xmlns:r="http://schemas.openxmlformats.org/officeDocument/2006/relationships" r:id="rId1"/>
          <a:extLst>
            <a:ext uri="{FF2B5EF4-FFF2-40B4-BE49-F238E27FC236}">
              <a16:creationId xmlns:a16="http://schemas.microsoft.com/office/drawing/2014/main" id="{755B0FF2-ADCE-4092-8EC4-13442DA91A87}"/>
            </a:ext>
          </a:extLst>
        </xdr:cNvPr>
        <xdr:cNvSpPr txBox="1"/>
      </xdr:nvSpPr>
      <xdr:spPr>
        <a:xfrm>
          <a:off x="8931089" y="145677"/>
          <a:ext cx="1294902" cy="532700"/>
        </a:xfrm>
        <a:prstGeom prst="rect">
          <a:avLst/>
        </a:prstGeom>
        <a:solidFill>
          <a:srgbClr val="FFCE33"/>
        </a:solidFill>
        <a:ln>
          <a:solidFill>
            <a:srgbClr val="7030A0"/>
          </a:solidFill>
        </a:ln>
        <a:effectLst>
          <a:outerShdw blurRad="50800" dist="38100" dir="2700000" algn="tl" rotWithShape="0">
            <a:prstClr val="black">
              <a:alpha val="40000"/>
            </a:prstClr>
          </a:outerShdw>
        </a:effectLst>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lang="en-US" sz="1400" b="1">
              <a:latin typeface="Arial" panose="020B0604020202020204" pitchFamily="34" charset="0"/>
              <a:cs typeface="Arial" panose="020B0604020202020204" pitchFamily="34" charset="0"/>
            </a:rPr>
            <a:t>Home</a:t>
          </a:r>
          <a:r>
            <a:rPr lang="en-US" sz="1400">
              <a:latin typeface="Arial Rounded MT Bold" panose="020F0704030504030204" pitchFamily="34" charset="0"/>
            </a:rPr>
            <a:t> </a:t>
          </a:r>
          <a:r>
            <a:rPr lang="en-US" sz="2400">
              <a:solidFill>
                <a:sysClr val="windowText" lastClr="000000"/>
              </a:solidFill>
              <a:latin typeface="Webdings" panose="05030102010509060703" pitchFamily="18" charset="2"/>
            </a:rPr>
            <a:t>H</a:t>
          </a:r>
        </a:p>
      </xdr:txBody>
    </xdr:sp>
    <xdr:clientData/>
  </xdr:twoCellAnchor>
  <xdr:twoCellAnchor editAs="oneCell">
    <xdr:from>
      <xdr:col>10</xdr:col>
      <xdr:colOff>162277</xdr:colOff>
      <xdr:row>14</xdr:row>
      <xdr:rowOff>176390</xdr:rowOff>
    </xdr:from>
    <xdr:to>
      <xdr:col>11</xdr:col>
      <xdr:colOff>571501</xdr:colOff>
      <xdr:row>22</xdr:row>
      <xdr:rowOff>3137</xdr:rowOff>
    </xdr:to>
    <xdr:pic>
      <xdr:nvPicPr>
        <xdr:cNvPr id="6" name="Picture 5" descr="MMA/PA Anamix® Next">
          <a:extLst>
            <a:ext uri="{FF2B5EF4-FFF2-40B4-BE49-F238E27FC236}">
              <a16:creationId xmlns:a16="http://schemas.microsoft.com/office/drawing/2014/main" id="{13A59BD4-1FD6-46C4-B4FD-5F46821225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12666" y="3541890"/>
          <a:ext cx="1051279" cy="1308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35278</xdr:colOff>
      <xdr:row>20</xdr:row>
      <xdr:rowOff>56443</xdr:rowOff>
    </xdr:from>
    <xdr:to>
      <xdr:col>8</xdr:col>
      <xdr:colOff>10936</xdr:colOff>
      <xdr:row>27</xdr:row>
      <xdr:rowOff>49261</xdr:rowOff>
    </xdr:to>
    <xdr:pic>
      <xdr:nvPicPr>
        <xdr:cNvPr id="8" name="Picture 7" descr="Propimex&lt;sup&gt;®&lt;/sup&gt;-1">
          <a:extLst>
            <a:ext uri="{FF2B5EF4-FFF2-40B4-BE49-F238E27FC236}">
              <a16:creationId xmlns:a16="http://schemas.microsoft.com/office/drawing/2014/main" id="{A73CAA4C-EA5D-4E38-82F5-0E2A586B999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7445" y="4536721"/>
          <a:ext cx="1262944" cy="1287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71805</xdr:colOff>
      <xdr:row>18</xdr:row>
      <xdr:rowOff>149469</xdr:rowOff>
    </xdr:from>
    <xdr:to>
      <xdr:col>9</xdr:col>
      <xdr:colOff>570035</xdr:colOff>
      <xdr:row>23</xdr:row>
      <xdr:rowOff>39565</xdr:rowOff>
    </xdr:to>
    <xdr:cxnSp macro="">
      <xdr:nvCxnSpPr>
        <xdr:cNvPr id="2" name="Curved Connector 1">
          <a:extLst>
            <a:ext uri="{FF2B5EF4-FFF2-40B4-BE49-F238E27FC236}">
              <a16:creationId xmlns:a16="http://schemas.microsoft.com/office/drawing/2014/main" id="{C364451E-379E-4193-BD05-3BCFF04F8CB4}"/>
            </a:ext>
          </a:extLst>
        </xdr:cNvPr>
        <xdr:cNvCxnSpPr/>
      </xdr:nvCxnSpPr>
      <xdr:spPr>
        <a:xfrm flipV="1">
          <a:off x="6510705" y="4378569"/>
          <a:ext cx="1107830" cy="852121"/>
        </a:xfrm>
        <a:prstGeom prst="curvedConnector3">
          <a:avLst>
            <a:gd name="adj1" fmla="val 50000"/>
          </a:avLst>
        </a:prstGeom>
        <a:ln w="38100">
          <a:solidFill>
            <a:srgbClr val="7030A0"/>
          </a:solidFill>
          <a:tailEnd type="arrow"/>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67236</xdr:colOff>
      <xdr:row>0</xdr:row>
      <xdr:rowOff>123264</xdr:rowOff>
    </xdr:from>
    <xdr:to>
      <xdr:col>14</xdr:col>
      <xdr:colOff>465667</xdr:colOff>
      <xdr:row>1</xdr:row>
      <xdr:rowOff>84464</xdr:rowOff>
    </xdr:to>
    <xdr:sp macro="" textlink="">
      <xdr:nvSpPr>
        <xdr:cNvPr id="5" name="TextBox 4">
          <a:hlinkClick xmlns:r="http://schemas.openxmlformats.org/officeDocument/2006/relationships" r:id="rId1"/>
          <a:extLst>
            <a:ext uri="{FF2B5EF4-FFF2-40B4-BE49-F238E27FC236}">
              <a16:creationId xmlns:a16="http://schemas.microsoft.com/office/drawing/2014/main" id="{2685FD58-0EC3-45A2-8C65-E355607B811B}"/>
            </a:ext>
          </a:extLst>
        </xdr:cNvPr>
        <xdr:cNvSpPr txBox="1"/>
      </xdr:nvSpPr>
      <xdr:spPr>
        <a:xfrm>
          <a:off x="8908677" y="123264"/>
          <a:ext cx="1294902" cy="532700"/>
        </a:xfrm>
        <a:prstGeom prst="rect">
          <a:avLst/>
        </a:prstGeom>
        <a:solidFill>
          <a:srgbClr val="FFCE33"/>
        </a:solidFill>
        <a:ln>
          <a:solidFill>
            <a:srgbClr val="7030A0"/>
          </a:solidFill>
        </a:ln>
        <a:effectLst>
          <a:outerShdw blurRad="50800" dist="38100" dir="2700000" algn="tl" rotWithShape="0">
            <a:prstClr val="black">
              <a:alpha val="40000"/>
            </a:prstClr>
          </a:outerShdw>
        </a:effectLst>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lang="en-US" sz="1400" b="1">
              <a:latin typeface="Arial" panose="020B0604020202020204" pitchFamily="34" charset="0"/>
              <a:cs typeface="Arial" panose="020B0604020202020204" pitchFamily="34" charset="0"/>
            </a:rPr>
            <a:t>Home</a:t>
          </a:r>
          <a:r>
            <a:rPr lang="en-US" sz="1400">
              <a:latin typeface="Arial Rounded MT Bold" panose="020F0704030504030204" pitchFamily="34" charset="0"/>
            </a:rPr>
            <a:t> </a:t>
          </a:r>
          <a:r>
            <a:rPr lang="en-US" sz="2400">
              <a:solidFill>
                <a:sysClr val="windowText" lastClr="000000"/>
              </a:solidFill>
              <a:latin typeface="Webdings" panose="05030102010509060703" pitchFamily="18" charset="2"/>
            </a:rPr>
            <a:t>H</a:t>
          </a:r>
        </a:p>
      </xdr:txBody>
    </xdr:sp>
    <xdr:clientData/>
  </xdr:twoCellAnchor>
  <xdr:twoCellAnchor editAs="oneCell">
    <xdr:from>
      <xdr:col>10</xdr:col>
      <xdr:colOff>35278</xdr:colOff>
      <xdr:row>15</xdr:row>
      <xdr:rowOff>98779</xdr:rowOff>
    </xdr:from>
    <xdr:to>
      <xdr:col>11</xdr:col>
      <xdr:colOff>501651</xdr:colOff>
      <xdr:row>23</xdr:row>
      <xdr:rowOff>10906</xdr:rowOff>
    </xdr:to>
    <xdr:pic>
      <xdr:nvPicPr>
        <xdr:cNvPr id="6" name="Picture 5" descr="MMA/PA Anamix® Early Years">
          <a:extLst>
            <a:ext uri="{FF2B5EF4-FFF2-40B4-BE49-F238E27FC236}">
              <a16:creationId xmlns:a16="http://schemas.microsoft.com/office/drawing/2014/main" id="{6D3523EF-6D51-408D-AA43-580B719424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3647723"/>
          <a:ext cx="1114778" cy="1387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634999</xdr:colOff>
      <xdr:row>19</xdr:row>
      <xdr:rowOff>162277</xdr:rowOff>
    </xdr:from>
    <xdr:to>
      <xdr:col>8</xdr:col>
      <xdr:colOff>231129</xdr:colOff>
      <xdr:row>27</xdr:row>
      <xdr:rowOff>48684</xdr:rowOff>
    </xdr:to>
    <xdr:pic>
      <xdr:nvPicPr>
        <xdr:cNvPr id="7" name="Picture 6">
          <a:extLst>
            <a:ext uri="{FF2B5EF4-FFF2-40B4-BE49-F238E27FC236}">
              <a16:creationId xmlns:a16="http://schemas.microsoft.com/office/drawing/2014/main" id="{06008CD3-AD97-4BE5-8EF3-889E0DF26E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75110" y="4452055"/>
          <a:ext cx="1522297" cy="1361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71805</xdr:colOff>
      <xdr:row>18</xdr:row>
      <xdr:rowOff>149469</xdr:rowOff>
    </xdr:from>
    <xdr:to>
      <xdr:col>9</xdr:col>
      <xdr:colOff>570035</xdr:colOff>
      <xdr:row>23</xdr:row>
      <xdr:rowOff>39565</xdr:rowOff>
    </xdr:to>
    <xdr:cxnSp macro="">
      <xdr:nvCxnSpPr>
        <xdr:cNvPr id="2" name="Curved Connector 1">
          <a:extLst>
            <a:ext uri="{FF2B5EF4-FFF2-40B4-BE49-F238E27FC236}">
              <a16:creationId xmlns:a16="http://schemas.microsoft.com/office/drawing/2014/main" id="{AEC24768-0D76-43A3-9BDA-B5B00699095A}"/>
            </a:ext>
          </a:extLst>
        </xdr:cNvPr>
        <xdr:cNvCxnSpPr/>
      </xdr:nvCxnSpPr>
      <xdr:spPr>
        <a:xfrm flipV="1">
          <a:off x="6510705" y="4378569"/>
          <a:ext cx="1107830" cy="852121"/>
        </a:xfrm>
        <a:prstGeom prst="curvedConnector3">
          <a:avLst>
            <a:gd name="adj1" fmla="val 50000"/>
          </a:avLst>
        </a:prstGeom>
        <a:ln w="38100">
          <a:solidFill>
            <a:srgbClr val="7030A0"/>
          </a:solidFill>
          <a:tailEnd type="arrow"/>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89648</xdr:colOff>
      <xdr:row>0</xdr:row>
      <xdr:rowOff>145677</xdr:rowOff>
    </xdr:from>
    <xdr:to>
      <xdr:col>14</xdr:col>
      <xdr:colOff>488079</xdr:colOff>
      <xdr:row>1</xdr:row>
      <xdr:rowOff>106877</xdr:rowOff>
    </xdr:to>
    <xdr:sp macro="" textlink="">
      <xdr:nvSpPr>
        <xdr:cNvPr id="4" name="TextBox 3">
          <a:hlinkClick xmlns:r="http://schemas.openxmlformats.org/officeDocument/2006/relationships" r:id="rId1"/>
          <a:extLst>
            <a:ext uri="{FF2B5EF4-FFF2-40B4-BE49-F238E27FC236}">
              <a16:creationId xmlns:a16="http://schemas.microsoft.com/office/drawing/2014/main" id="{B8623595-8179-4E1F-A8C3-149DD6A74E7C}"/>
            </a:ext>
          </a:extLst>
        </xdr:cNvPr>
        <xdr:cNvSpPr txBox="1"/>
      </xdr:nvSpPr>
      <xdr:spPr>
        <a:xfrm>
          <a:off x="8966948" y="145677"/>
          <a:ext cx="1293781" cy="532700"/>
        </a:xfrm>
        <a:prstGeom prst="rect">
          <a:avLst/>
        </a:prstGeom>
        <a:solidFill>
          <a:srgbClr val="FFCE33"/>
        </a:solidFill>
        <a:ln>
          <a:solidFill>
            <a:srgbClr val="7030A0"/>
          </a:solidFill>
        </a:ln>
        <a:effectLst>
          <a:outerShdw blurRad="50800" dist="38100" dir="2700000" algn="tl" rotWithShape="0">
            <a:prstClr val="black">
              <a:alpha val="40000"/>
            </a:prstClr>
          </a:outerShdw>
        </a:effectLst>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lang="en-US" sz="1400" b="1">
              <a:latin typeface="Arial" panose="020B0604020202020204" pitchFamily="34" charset="0"/>
              <a:cs typeface="Arial" panose="020B0604020202020204" pitchFamily="34" charset="0"/>
            </a:rPr>
            <a:t>Home</a:t>
          </a:r>
          <a:r>
            <a:rPr lang="en-US" sz="1400">
              <a:latin typeface="Arial Rounded MT Bold" panose="020F0704030504030204" pitchFamily="34" charset="0"/>
            </a:rPr>
            <a:t> </a:t>
          </a:r>
          <a:r>
            <a:rPr lang="en-US" sz="2400">
              <a:solidFill>
                <a:sysClr val="windowText" lastClr="000000"/>
              </a:solidFill>
              <a:latin typeface="Webdings" panose="05030102010509060703" pitchFamily="18" charset="2"/>
            </a:rPr>
            <a:t>H</a:t>
          </a:r>
        </a:p>
      </xdr:txBody>
    </xdr:sp>
    <xdr:clientData/>
  </xdr:twoCellAnchor>
  <xdr:twoCellAnchor editAs="oneCell">
    <xdr:from>
      <xdr:col>10</xdr:col>
      <xdr:colOff>183446</xdr:colOff>
      <xdr:row>15</xdr:row>
      <xdr:rowOff>91724</xdr:rowOff>
    </xdr:from>
    <xdr:to>
      <xdr:col>11</xdr:col>
      <xdr:colOff>493891</xdr:colOff>
      <xdr:row>21</xdr:row>
      <xdr:rowOff>159245</xdr:rowOff>
    </xdr:to>
    <xdr:pic>
      <xdr:nvPicPr>
        <xdr:cNvPr id="6" name="Picture 5" descr="MMA/PA Anamix® Next">
          <a:extLst>
            <a:ext uri="{FF2B5EF4-FFF2-40B4-BE49-F238E27FC236}">
              <a16:creationId xmlns:a16="http://schemas.microsoft.com/office/drawing/2014/main" id="{196A2F6D-5E80-44F0-B297-F29F8478A1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33835" y="3640668"/>
          <a:ext cx="952500" cy="1185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565149</xdr:colOff>
      <xdr:row>19</xdr:row>
      <xdr:rowOff>122767</xdr:rowOff>
    </xdr:from>
    <xdr:to>
      <xdr:col>8</xdr:col>
      <xdr:colOff>246591</xdr:colOff>
      <xdr:row>27</xdr:row>
      <xdr:rowOff>68049</xdr:rowOff>
    </xdr:to>
    <xdr:pic>
      <xdr:nvPicPr>
        <xdr:cNvPr id="8" name="Picture 7">
          <a:extLst>
            <a:ext uri="{FF2B5EF4-FFF2-40B4-BE49-F238E27FC236}">
              <a16:creationId xmlns:a16="http://schemas.microsoft.com/office/drawing/2014/main" id="{9027939E-066D-4734-A258-82443781A1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80566" y="4366684"/>
          <a:ext cx="1586442" cy="139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E33"/>
  </sheetPr>
  <dimension ref="B1:X47"/>
  <sheetViews>
    <sheetView showGridLines="0" showRowColHeaders="0" tabSelected="1" zoomScale="80" zoomScaleNormal="80" workbookViewId="0"/>
  </sheetViews>
  <sheetFormatPr defaultColWidth="9.140625" defaultRowHeight="14.45"/>
  <cols>
    <col min="1" max="1" width="3" customWidth="1"/>
  </cols>
  <sheetData>
    <row r="1" spans="2:24" ht="15" thickBot="1"/>
    <row r="2" spans="2:24" ht="15" thickTop="1">
      <c r="B2" s="321"/>
      <c r="C2" s="322"/>
      <c r="D2" s="322"/>
      <c r="E2" s="322"/>
      <c r="F2" s="322"/>
      <c r="G2" s="322"/>
      <c r="H2" s="322"/>
      <c r="I2" s="322"/>
      <c r="J2" s="322"/>
      <c r="K2" s="322"/>
      <c r="L2" s="322"/>
      <c r="M2" s="322"/>
      <c r="N2" s="322"/>
      <c r="O2" s="322"/>
      <c r="P2" s="322"/>
      <c r="Q2" s="322"/>
      <c r="R2" s="322"/>
      <c r="S2" s="322"/>
      <c r="T2" s="322"/>
      <c r="U2" s="322"/>
      <c r="V2" s="322"/>
      <c r="W2" s="322"/>
      <c r="X2" s="323"/>
    </row>
    <row r="3" spans="2:24" ht="15" thickBot="1">
      <c r="B3" s="324"/>
      <c r="C3" s="2"/>
      <c r="D3" s="3"/>
      <c r="E3" s="3"/>
      <c r="F3" s="3"/>
      <c r="G3" s="3"/>
      <c r="H3" s="3"/>
      <c r="I3" s="3"/>
      <c r="J3" s="3"/>
      <c r="K3" s="3"/>
      <c r="L3" s="3"/>
      <c r="M3" s="3"/>
      <c r="N3" s="3"/>
      <c r="O3" s="3"/>
      <c r="P3" s="3"/>
      <c r="Q3" s="3"/>
      <c r="R3" s="3"/>
      <c r="S3" s="3"/>
      <c r="T3" s="3"/>
      <c r="U3" s="3"/>
      <c r="V3" s="3"/>
      <c r="W3" s="4"/>
      <c r="X3" s="328"/>
    </row>
    <row r="4" spans="2:24">
      <c r="B4" s="324"/>
      <c r="C4" s="5"/>
      <c r="D4" s="6"/>
      <c r="E4" s="341" t="s">
        <v>0</v>
      </c>
      <c r="F4" s="342"/>
      <c r="G4" s="342"/>
      <c r="H4" s="342"/>
      <c r="I4" s="342"/>
      <c r="J4" s="342"/>
      <c r="K4" s="342"/>
      <c r="L4" s="342"/>
      <c r="M4" s="342"/>
      <c r="N4" s="342"/>
      <c r="O4" s="342"/>
      <c r="P4" s="342"/>
      <c r="Q4" s="342"/>
      <c r="R4" s="342"/>
      <c r="S4" s="342"/>
      <c r="T4" s="342"/>
      <c r="U4" s="343"/>
      <c r="V4" s="6"/>
      <c r="W4" s="7"/>
      <c r="X4" s="328"/>
    </row>
    <row r="5" spans="2:24">
      <c r="B5" s="324"/>
      <c r="C5" s="5"/>
      <c r="D5" s="6"/>
      <c r="E5" s="344"/>
      <c r="F5" s="345"/>
      <c r="G5" s="345"/>
      <c r="H5" s="345"/>
      <c r="I5" s="345"/>
      <c r="J5" s="345"/>
      <c r="K5" s="345"/>
      <c r="L5" s="345"/>
      <c r="M5" s="345"/>
      <c r="N5" s="345"/>
      <c r="O5" s="345"/>
      <c r="P5" s="345"/>
      <c r="Q5" s="345"/>
      <c r="R5" s="345"/>
      <c r="S5" s="345"/>
      <c r="T5" s="345"/>
      <c r="U5" s="346"/>
      <c r="V5" s="6"/>
      <c r="W5" s="7"/>
      <c r="X5" s="328"/>
    </row>
    <row r="6" spans="2:24">
      <c r="B6" s="324"/>
      <c r="C6" s="5"/>
      <c r="D6" s="6"/>
      <c r="E6" s="344"/>
      <c r="F6" s="345"/>
      <c r="G6" s="345"/>
      <c r="H6" s="345"/>
      <c r="I6" s="345"/>
      <c r="J6" s="345"/>
      <c r="K6" s="345"/>
      <c r="L6" s="345"/>
      <c r="M6" s="345"/>
      <c r="N6" s="345"/>
      <c r="O6" s="345"/>
      <c r="P6" s="345"/>
      <c r="Q6" s="345"/>
      <c r="R6" s="345"/>
      <c r="S6" s="345"/>
      <c r="T6" s="345"/>
      <c r="U6" s="346"/>
      <c r="V6" s="6"/>
      <c r="W6" s="7"/>
      <c r="X6" s="328"/>
    </row>
    <row r="7" spans="2:24">
      <c r="B7" s="324"/>
      <c r="C7" s="5"/>
      <c r="D7" s="6"/>
      <c r="E7" s="344"/>
      <c r="F7" s="345"/>
      <c r="G7" s="345"/>
      <c r="H7" s="345"/>
      <c r="I7" s="345"/>
      <c r="J7" s="345"/>
      <c r="K7" s="345"/>
      <c r="L7" s="345"/>
      <c r="M7" s="345"/>
      <c r="N7" s="345"/>
      <c r="O7" s="345"/>
      <c r="P7" s="345"/>
      <c r="Q7" s="345"/>
      <c r="R7" s="345"/>
      <c r="S7" s="345"/>
      <c r="T7" s="345"/>
      <c r="U7" s="346"/>
      <c r="V7" s="6"/>
      <c r="W7" s="7"/>
      <c r="X7" s="328"/>
    </row>
    <row r="8" spans="2:24">
      <c r="B8" s="324"/>
      <c r="C8" s="5"/>
      <c r="D8" s="6"/>
      <c r="E8" s="344"/>
      <c r="F8" s="345"/>
      <c r="G8" s="345"/>
      <c r="H8" s="345"/>
      <c r="I8" s="345"/>
      <c r="J8" s="345"/>
      <c r="K8" s="345"/>
      <c r="L8" s="345"/>
      <c r="M8" s="345"/>
      <c r="N8" s="345"/>
      <c r="O8" s="345"/>
      <c r="P8" s="345"/>
      <c r="Q8" s="345"/>
      <c r="R8" s="345"/>
      <c r="S8" s="345"/>
      <c r="T8" s="345"/>
      <c r="U8" s="346"/>
      <c r="W8" s="7"/>
      <c r="X8" s="328"/>
    </row>
    <row r="9" spans="2:24">
      <c r="B9" s="324"/>
      <c r="D9" s="6"/>
      <c r="E9" s="344"/>
      <c r="F9" s="345"/>
      <c r="G9" s="345"/>
      <c r="H9" s="345"/>
      <c r="I9" s="345"/>
      <c r="J9" s="345"/>
      <c r="K9" s="345"/>
      <c r="L9" s="345"/>
      <c r="M9" s="345"/>
      <c r="N9" s="345"/>
      <c r="O9" s="345"/>
      <c r="P9" s="345"/>
      <c r="Q9" s="345"/>
      <c r="R9" s="345"/>
      <c r="S9" s="345"/>
      <c r="T9" s="345"/>
      <c r="U9" s="346"/>
      <c r="V9" s="6"/>
      <c r="W9" s="7"/>
      <c r="X9" s="328"/>
    </row>
    <row r="10" spans="2:24" ht="15" thickBot="1">
      <c r="B10" s="324"/>
      <c r="C10" s="5"/>
      <c r="D10" s="6"/>
      <c r="E10" s="347"/>
      <c r="F10" s="348"/>
      <c r="G10" s="348"/>
      <c r="H10" s="348"/>
      <c r="I10" s="348"/>
      <c r="J10" s="348"/>
      <c r="K10" s="348"/>
      <c r="L10" s="348"/>
      <c r="M10" s="348"/>
      <c r="N10" s="348"/>
      <c r="O10" s="348"/>
      <c r="P10" s="348"/>
      <c r="Q10" s="348"/>
      <c r="R10" s="348"/>
      <c r="S10" s="348"/>
      <c r="T10" s="348"/>
      <c r="U10" s="349"/>
      <c r="V10" s="6"/>
      <c r="W10" s="7"/>
      <c r="X10" s="328"/>
    </row>
    <row r="11" spans="2:24">
      <c r="B11" s="324"/>
      <c r="C11" s="5"/>
      <c r="D11" s="6"/>
      <c r="E11" s="6"/>
      <c r="F11" s="6"/>
      <c r="G11" s="6"/>
      <c r="H11" s="6"/>
      <c r="I11" s="6"/>
      <c r="J11" s="6"/>
      <c r="K11" s="6"/>
      <c r="L11" s="6"/>
      <c r="M11" s="6"/>
      <c r="N11" s="6"/>
      <c r="O11" s="6"/>
      <c r="P11" s="6"/>
      <c r="Q11" s="6"/>
      <c r="R11" s="6"/>
      <c r="S11" s="6"/>
      <c r="T11" s="6"/>
      <c r="U11" s="6"/>
      <c r="V11" s="6"/>
      <c r="W11" s="7"/>
      <c r="X11" s="328"/>
    </row>
    <row r="12" spans="2:24">
      <c r="B12" s="324"/>
      <c r="C12" s="5"/>
      <c r="D12" s="6"/>
      <c r="E12" s="6"/>
      <c r="F12" s="6"/>
      <c r="G12" s="6"/>
      <c r="H12" s="6"/>
      <c r="I12" s="6"/>
      <c r="J12" s="6"/>
      <c r="K12" s="6"/>
      <c r="L12" s="6"/>
      <c r="M12" s="6"/>
      <c r="N12" s="6"/>
      <c r="O12" s="6"/>
      <c r="P12" s="6"/>
      <c r="Q12" s="6"/>
      <c r="R12" s="6"/>
      <c r="S12" s="6"/>
      <c r="T12" s="6"/>
      <c r="U12" s="6"/>
      <c r="V12" s="6"/>
      <c r="W12" s="7"/>
      <c r="X12" s="328"/>
    </row>
    <row r="13" spans="2:24">
      <c r="B13" s="324"/>
      <c r="C13" s="8"/>
      <c r="W13" s="9"/>
      <c r="X13" s="328"/>
    </row>
    <row r="14" spans="2:24">
      <c r="B14" s="324"/>
      <c r="C14" s="5"/>
      <c r="D14" s="6"/>
      <c r="E14" s="6"/>
      <c r="F14" s="6"/>
      <c r="G14" s="6"/>
      <c r="H14" s="6"/>
      <c r="I14" s="6"/>
      <c r="J14" s="6"/>
      <c r="K14" s="6"/>
      <c r="L14" s="6"/>
      <c r="M14" s="6"/>
      <c r="N14" s="6"/>
      <c r="O14" s="6"/>
      <c r="P14" s="6"/>
      <c r="Q14" s="6"/>
      <c r="R14" s="6"/>
      <c r="S14" s="6"/>
      <c r="T14" s="6"/>
      <c r="U14" s="6"/>
      <c r="V14" s="6"/>
      <c r="W14" s="7"/>
      <c r="X14" s="328"/>
    </row>
    <row r="15" spans="2:24">
      <c r="B15" s="324"/>
      <c r="C15" s="5"/>
      <c r="D15" s="6"/>
      <c r="E15" s="6"/>
      <c r="F15" s="6"/>
      <c r="G15" s="6"/>
      <c r="H15" s="6"/>
      <c r="I15" s="6"/>
      <c r="J15" s="6"/>
      <c r="K15" s="6"/>
      <c r="L15" s="6"/>
      <c r="M15" s="6"/>
      <c r="N15" s="6"/>
      <c r="O15" s="6"/>
      <c r="P15" s="6"/>
      <c r="Q15" s="6"/>
      <c r="R15" s="6"/>
      <c r="S15" s="6"/>
      <c r="T15" s="6"/>
      <c r="U15" s="6"/>
      <c r="V15" s="6"/>
      <c r="W15" s="7"/>
      <c r="X15" s="328"/>
    </row>
    <row r="16" spans="2:24">
      <c r="B16" s="324"/>
      <c r="C16" s="5"/>
      <c r="D16" s="6"/>
      <c r="E16" s="6"/>
      <c r="F16" s="6"/>
      <c r="G16" s="6"/>
      <c r="H16" s="6"/>
      <c r="I16" s="6"/>
      <c r="J16" s="6"/>
      <c r="K16" s="6"/>
      <c r="L16" s="6"/>
      <c r="M16" s="6"/>
      <c r="N16" s="6"/>
      <c r="O16" s="6"/>
      <c r="P16" s="6"/>
      <c r="Q16" s="6"/>
      <c r="R16" s="6"/>
      <c r="S16" s="6"/>
      <c r="T16" s="6"/>
      <c r="U16" s="6"/>
      <c r="V16" s="6"/>
      <c r="W16" s="7"/>
      <c r="X16" s="328"/>
    </row>
    <row r="17" spans="2:24">
      <c r="B17" s="324"/>
      <c r="C17" s="5"/>
      <c r="D17" s="6"/>
      <c r="E17" s="6"/>
      <c r="F17" s="6"/>
      <c r="G17" s="6"/>
      <c r="H17" s="6"/>
      <c r="I17" s="6"/>
      <c r="J17" s="6"/>
      <c r="K17" s="6"/>
      <c r="L17" s="6"/>
      <c r="M17" s="6"/>
      <c r="N17" s="6"/>
      <c r="O17" s="6"/>
      <c r="P17" s="6"/>
      <c r="Q17" s="6"/>
      <c r="R17" s="6"/>
      <c r="S17" s="6"/>
      <c r="T17" s="6"/>
      <c r="U17" s="6"/>
      <c r="V17" s="6"/>
      <c r="W17" s="7"/>
      <c r="X17" s="328"/>
    </row>
    <row r="18" spans="2:24">
      <c r="B18" s="324"/>
      <c r="C18" s="5"/>
      <c r="D18" s="6"/>
      <c r="E18" s="6"/>
      <c r="F18" s="6"/>
      <c r="G18" s="6"/>
      <c r="H18" s="6"/>
      <c r="I18" s="6"/>
      <c r="J18" s="6"/>
      <c r="K18" s="6"/>
      <c r="L18" s="6"/>
      <c r="M18" s="6"/>
      <c r="N18" s="6"/>
      <c r="O18" s="6"/>
      <c r="P18" s="6"/>
      <c r="Q18" s="6"/>
      <c r="R18" s="6"/>
      <c r="S18" s="6"/>
      <c r="T18" s="6"/>
      <c r="U18" s="6"/>
      <c r="V18" s="6"/>
      <c r="W18" s="7"/>
      <c r="X18" s="328"/>
    </row>
    <row r="19" spans="2:24">
      <c r="B19" s="324"/>
      <c r="C19" s="5"/>
      <c r="D19" s="6"/>
      <c r="E19" s="6"/>
      <c r="F19" s="6"/>
      <c r="G19" s="6"/>
      <c r="H19" s="6"/>
      <c r="I19" s="6"/>
      <c r="J19" s="6"/>
      <c r="K19" s="6"/>
      <c r="L19" s="6"/>
      <c r="M19" s="6"/>
      <c r="N19" s="6"/>
      <c r="O19" s="6"/>
      <c r="P19" s="6"/>
      <c r="Q19" s="6"/>
      <c r="R19" s="6"/>
      <c r="S19" s="6"/>
      <c r="T19" s="6"/>
      <c r="U19" s="6"/>
      <c r="V19" s="6"/>
      <c r="X19" s="328"/>
    </row>
    <row r="20" spans="2:24">
      <c r="B20" s="324"/>
      <c r="C20" s="5"/>
      <c r="D20" s="6"/>
      <c r="E20" s="6"/>
      <c r="F20" s="6"/>
      <c r="G20" s="6"/>
      <c r="H20" s="6"/>
      <c r="I20" s="6"/>
      <c r="J20" s="6"/>
      <c r="K20" s="6"/>
      <c r="L20" s="6"/>
      <c r="M20" s="6"/>
      <c r="N20" s="6"/>
      <c r="O20" s="6"/>
      <c r="P20" s="6"/>
      <c r="Q20" s="6"/>
      <c r="R20" s="6"/>
      <c r="S20" s="6"/>
      <c r="T20" s="6"/>
      <c r="U20" s="6"/>
      <c r="V20" s="6"/>
      <c r="W20" s="7"/>
      <c r="X20" s="328"/>
    </row>
    <row r="21" spans="2:24">
      <c r="B21" s="324"/>
      <c r="C21" s="5"/>
      <c r="D21" s="6"/>
      <c r="E21" s="6"/>
      <c r="F21" s="6"/>
      <c r="G21" s="6"/>
      <c r="H21" s="6"/>
      <c r="I21" s="6"/>
      <c r="J21" s="6"/>
      <c r="K21" s="6"/>
      <c r="L21" s="6"/>
      <c r="M21" s="6"/>
      <c r="N21" s="6"/>
      <c r="O21" s="6"/>
      <c r="P21" s="6"/>
      <c r="Q21" s="6"/>
      <c r="R21" s="6"/>
      <c r="S21" s="6"/>
      <c r="T21" s="6"/>
      <c r="U21" s="6"/>
      <c r="V21" s="6"/>
      <c r="W21" s="7"/>
      <c r="X21" s="328"/>
    </row>
    <row r="22" spans="2:24">
      <c r="B22" s="324"/>
      <c r="C22" s="5"/>
      <c r="D22" s="6"/>
      <c r="E22" s="6"/>
      <c r="F22" s="6"/>
      <c r="G22" s="6"/>
      <c r="H22" s="6"/>
      <c r="I22" s="6"/>
      <c r="J22" s="6"/>
      <c r="K22" s="6"/>
      <c r="L22" s="6"/>
      <c r="M22" s="6"/>
      <c r="N22" s="6"/>
      <c r="O22" s="6"/>
      <c r="P22" s="6"/>
      <c r="Q22" s="6"/>
      <c r="R22" s="6"/>
      <c r="S22" s="6"/>
      <c r="T22" s="6"/>
      <c r="U22" s="6"/>
      <c r="V22" s="6"/>
      <c r="W22" s="7"/>
      <c r="X22" s="328"/>
    </row>
    <row r="23" spans="2:24">
      <c r="B23" s="324"/>
      <c r="C23" s="5"/>
      <c r="D23" s="6"/>
      <c r="E23" s="6"/>
      <c r="F23" s="6"/>
      <c r="G23" s="6"/>
      <c r="H23" s="6"/>
      <c r="I23" s="6"/>
      <c r="J23" s="6"/>
      <c r="K23" s="6"/>
      <c r="L23" s="6"/>
      <c r="M23" s="6"/>
      <c r="N23" s="6"/>
      <c r="O23" s="6"/>
      <c r="P23" s="6"/>
      <c r="Q23" s="6"/>
      <c r="R23" s="6"/>
      <c r="S23" s="6"/>
      <c r="T23" s="6"/>
      <c r="U23" s="6"/>
      <c r="V23" s="6"/>
      <c r="W23" s="7"/>
      <c r="X23" s="328"/>
    </row>
    <row r="24" spans="2:24">
      <c r="B24" s="324"/>
      <c r="C24" s="5"/>
      <c r="D24" s="6"/>
      <c r="E24" s="6"/>
      <c r="F24" s="6"/>
      <c r="G24" s="6"/>
      <c r="H24" s="6"/>
      <c r="I24" s="6"/>
      <c r="J24" s="6"/>
      <c r="K24" s="6"/>
      <c r="L24" s="6"/>
      <c r="M24" s="6"/>
      <c r="N24" s="6"/>
      <c r="O24" s="6"/>
      <c r="P24" s="6"/>
      <c r="Q24" s="6"/>
      <c r="R24" s="6"/>
      <c r="S24" s="6"/>
      <c r="T24" s="6"/>
      <c r="U24" s="6"/>
      <c r="V24" s="6"/>
      <c r="W24" s="7"/>
      <c r="X24" s="328"/>
    </row>
    <row r="25" spans="2:24">
      <c r="B25" s="324"/>
      <c r="C25" s="5"/>
      <c r="D25" s="6"/>
      <c r="E25" s="6"/>
      <c r="F25" s="6"/>
      <c r="G25" s="6"/>
      <c r="H25" s="6"/>
      <c r="I25" s="6"/>
      <c r="J25" s="6"/>
      <c r="K25" s="6"/>
      <c r="L25" s="6"/>
      <c r="M25" s="6"/>
      <c r="N25" s="6"/>
      <c r="O25" s="6"/>
      <c r="P25" s="6"/>
      <c r="Q25" s="6"/>
      <c r="R25" s="6"/>
      <c r="S25" s="6"/>
      <c r="T25" s="6"/>
      <c r="U25" s="6"/>
      <c r="V25" s="6"/>
      <c r="W25" s="7"/>
      <c r="X25" s="328"/>
    </row>
    <row r="26" spans="2:24">
      <c r="B26" s="324"/>
      <c r="C26" s="5"/>
      <c r="D26" s="6"/>
      <c r="E26" s="6"/>
      <c r="F26" s="6"/>
      <c r="G26" s="6"/>
      <c r="H26" s="6"/>
      <c r="I26" s="6"/>
      <c r="J26" s="6"/>
      <c r="K26" s="6"/>
      <c r="L26" s="6"/>
      <c r="M26" s="6"/>
      <c r="N26" s="6"/>
      <c r="O26" s="6"/>
      <c r="P26" s="6"/>
      <c r="Q26" s="6"/>
      <c r="R26" s="6"/>
      <c r="S26" s="6"/>
      <c r="T26" s="6"/>
      <c r="U26" s="6"/>
      <c r="V26" s="6"/>
      <c r="W26" s="7"/>
      <c r="X26" s="328"/>
    </row>
    <row r="27" spans="2:24">
      <c r="B27" s="326"/>
      <c r="C27" s="8"/>
      <c r="W27" s="9"/>
      <c r="X27" s="328"/>
    </row>
    <row r="28" spans="2:24">
      <c r="B28" s="324"/>
      <c r="C28" s="5"/>
      <c r="D28" s="6"/>
      <c r="E28" s="6"/>
      <c r="F28" s="6"/>
      <c r="G28" s="6"/>
      <c r="H28" s="6"/>
      <c r="I28" s="6"/>
      <c r="J28" s="6"/>
      <c r="K28" s="6"/>
      <c r="L28" s="6"/>
      <c r="M28" s="6"/>
      <c r="N28" s="6"/>
      <c r="O28" s="6"/>
      <c r="P28" s="6"/>
      <c r="Q28" s="6"/>
      <c r="R28" s="6"/>
      <c r="S28" s="6"/>
      <c r="T28" s="6"/>
      <c r="U28" s="6"/>
      <c r="V28" s="6"/>
      <c r="W28" s="7"/>
      <c r="X28" s="328"/>
    </row>
    <row r="29" spans="2:24">
      <c r="B29" s="324"/>
      <c r="C29" s="5"/>
      <c r="D29" s="6"/>
      <c r="E29" s="6"/>
      <c r="F29" s="6"/>
      <c r="G29" s="6"/>
      <c r="H29" s="6"/>
      <c r="I29" s="6"/>
      <c r="J29" s="6"/>
      <c r="K29" s="6"/>
      <c r="L29" s="6"/>
      <c r="M29" s="6"/>
      <c r="N29" s="6"/>
      <c r="O29" s="6"/>
      <c r="P29" s="6"/>
      <c r="Q29" s="6"/>
      <c r="R29" s="6"/>
      <c r="S29" s="6"/>
      <c r="T29" s="6"/>
      <c r="U29" s="6"/>
      <c r="V29" s="6"/>
      <c r="W29" s="7"/>
      <c r="X29" s="328"/>
    </row>
    <row r="30" spans="2:24">
      <c r="B30" s="324"/>
      <c r="C30" s="5"/>
      <c r="D30" s="6"/>
      <c r="E30" s="6"/>
      <c r="F30" s="6"/>
      <c r="G30" s="6"/>
      <c r="H30" s="6"/>
      <c r="I30" s="6"/>
      <c r="J30" s="6"/>
      <c r="K30" s="6"/>
      <c r="L30" s="6"/>
      <c r="M30" s="6"/>
      <c r="N30" s="6"/>
      <c r="O30" s="6"/>
      <c r="P30" s="6"/>
      <c r="Q30" s="6"/>
      <c r="R30" s="6"/>
      <c r="S30" s="6"/>
      <c r="T30" s="6"/>
      <c r="U30" s="6"/>
      <c r="V30" s="6"/>
      <c r="W30" s="7"/>
      <c r="X30" s="328"/>
    </row>
    <row r="31" spans="2:24">
      <c r="B31" s="324"/>
      <c r="C31" s="5"/>
      <c r="D31" s="6"/>
      <c r="E31" s="6"/>
      <c r="F31" s="6"/>
      <c r="G31" s="6"/>
      <c r="H31" s="6"/>
      <c r="I31" s="6"/>
      <c r="J31" s="6"/>
      <c r="K31" s="6"/>
      <c r="L31" s="6"/>
      <c r="M31" s="6"/>
      <c r="N31" s="6"/>
      <c r="O31" s="6"/>
      <c r="P31" s="6"/>
      <c r="Q31" s="6"/>
      <c r="R31" s="6"/>
      <c r="S31" s="6"/>
      <c r="T31" s="6"/>
      <c r="U31" s="6"/>
      <c r="V31" s="6"/>
      <c r="W31" s="7"/>
      <c r="X31" s="328"/>
    </row>
    <row r="32" spans="2:24">
      <c r="B32" s="324"/>
      <c r="C32" s="5"/>
      <c r="D32" s="6"/>
      <c r="E32" s="6"/>
      <c r="F32" s="6"/>
      <c r="G32" s="6"/>
      <c r="H32" s="6"/>
      <c r="I32" s="6"/>
      <c r="J32" s="6"/>
      <c r="K32" s="6"/>
      <c r="L32" s="6"/>
      <c r="M32" s="6"/>
      <c r="N32" s="6"/>
      <c r="O32" s="6"/>
      <c r="P32" s="6"/>
      <c r="Q32" s="6"/>
      <c r="R32" s="6"/>
      <c r="S32" s="6"/>
      <c r="T32" s="6"/>
      <c r="U32" s="6"/>
      <c r="V32" s="6"/>
      <c r="W32" s="7"/>
      <c r="X32" s="328"/>
    </row>
    <row r="33" spans="2:24">
      <c r="B33" s="324"/>
      <c r="C33" s="5"/>
      <c r="D33" s="6"/>
      <c r="E33" s="6"/>
      <c r="F33" s="6"/>
      <c r="G33" s="6"/>
      <c r="H33" s="6"/>
      <c r="I33" s="6"/>
      <c r="J33" s="6"/>
      <c r="K33" s="6"/>
      <c r="L33" s="6"/>
      <c r="M33" s="6"/>
      <c r="N33" s="6"/>
      <c r="O33" s="6"/>
      <c r="P33" s="6"/>
      <c r="Q33" s="6"/>
      <c r="R33" s="6"/>
      <c r="S33" s="6"/>
      <c r="T33" s="6"/>
      <c r="U33" s="6"/>
      <c r="V33" s="6"/>
      <c r="W33" s="7"/>
      <c r="X33" s="328"/>
    </row>
    <row r="34" spans="2:24">
      <c r="B34" s="324"/>
      <c r="C34" s="5"/>
      <c r="D34" s="6"/>
      <c r="E34" s="6"/>
      <c r="F34" s="6"/>
      <c r="G34" s="6"/>
      <c r="H34" s="6"/>
      <c r="I34" s="6"/>
      <c r="J34" s="6"/>
      <c r="K34" s="6"/>
      <c r="L34" s="6"/>
      <c r="M34" s="6"/>
      <c r="N34" s="6"/>
      <c r="O34" s="6"/>
      <c r="P34" s="6"/>
      <c r="Q34" s="6"/>
      <c r="R34" s="6"/>
      <c r="S34" s="6"/>
      <c r="T34" s="6"/>
      <c r="U34" s="6"/>
      <c r="V34" s="6"/>
      <c r="W34" s="7"/>
      <c r="X34" s="328"/>
    </row>
    <row r="35" spans="2:24">
      <c r="B35" s="324"/>
      <c r="C35" s="5"/>
      <c r="D35" s="6"/>
      <c r="E35" s="6"/>
      <c r="F35" s="6"/>
      <c r="G35" s="6"/>
      <c r="H35" s="6"/>
      <c r="I35" s="6"/>
      <c r="J35" s="6"/>
      <c r="K35" s="6"/>
      <c r="L35" s="6"/>
      <c r="M35" s="6"/>
      <c r="N35" s="6"/>
      <c r="O35" s="6"/>
      <c r="P35" s="6"/>
      <c r="Q35" s="6"/>
      <c r="R35" s="6"/>
      <c r="S35" s="6"/>
      <c r="T35" s="6"/>
      <c r="U35" s="6"/>
      <c r="V35" s="6"/>
      <c r="W35" s="7"/>
      <c r="X35" s="328"/>
    </row>
    <row r="36" spans="2:24">
      <c r="B36" s="324"/>
      <c r="C36" s="5"/>
      <c r="D36" s="6"/>
      <c r="E36" s="6"/>
      <c r="F36" s="6"/>
      <c r="G36" s="6"/>
      <c r="H36" s="6"/>
      <c r="I36" s="6"/>
      <c r="J36" s="6"/>
      <c r="K36" s="6"/>
      <c r="L36" s="6"/>
      <c r="M36" s="6"/>
      <c r="N36" s="6"/>
      <c r="O36" s="6"/>
      <c r="P36" s="6"/>
      <c r="Q36" s="6"/>
      <c r="R36" s="6"/>
      <c r="S36" s="6"/>
      <c r="T36" s="6"/>
      <c r="U36" s="6"/>
      <c r="V36" s="6"/>
      <c r="W36" s="7"/>
      <c r="X36" s="328"/>
    </row>
    <row r="37" spans="2:24">
      <c r="B37" s="324"/>
      <c r="C37" s="5"/>
      <c r="D37" s="6"/>
      <c r="E37" s="6"/>
      <c r="F37" s="6"/>
      <c r="G37" s="6"/>
      <c r="H37" s="6"/>
      <c r="I37" s="6"/>
      <c r="J37" s="6"/>
      <c r="K37" s="6"/>
      <c r="L37" s="6"/>
      <c r="M37" s="6"/>
      <c r="N37" s="6"/>
      <c r="O37" s="6"/>
      <c r="P37" s="6"/>
      <c r="Q37" s="6"/>
      <c r="R37" s="6"/>
      <c r="S37" s="6"/>
      <c r="T37" s="6"/>
      <c r="U37" s="6"/>
      <c r="V37" s="6"/>
      <c r="W37" s="7"/>
      <c r="X37" s="328"/>
    </row>
    <row r="38" spans="2:24">
      <c r="B38" s="324"/>
      <c r="C38" s="10"/>
      <c r="D38" s="11"/>
      <c r="E38" s="11"/>
      <c r="F38" s="11"/>
      <c r="G38" s="11"/>
      <c r="H38" s="11"/>
      <c r="I38" s="11"/>
      <c r="J38" s="11"/>
      <c r="K38" s="11"/>
      <c r="L38" s="11"/>
      <c r="M38" s="11"/>
      <c r="N38" s="11"/>
      <c r="O38" s="11"/>
      <c r="P38" s="11"/>
      <c r="Q38" s="11"/>
      <c r="R38" s="11"/>
      <c r="S38" s="11"/>
      <c r="T38" s="11"/>
      <c r="U38" s="11"/>
      <c r="V38" s="11"/>
      <c r="W38" s="12"/>
      <c r="X38" s="328"/>
    </row>
    <row r="39" spans="2:24">
      <c r="B39" s="324"/>
      <c r="C39" s="325"/>
      <c r="D39" s="325"/>
      <c r="E39" s="325"/>
      <c r="F39" s="325"/>
      <c r="G39" s="325"/>
      <c r="H39" s="325"/>
      <c r="I39" s="325"/>
      <c r="J39" s="325"/>
      <c r="K39" s="325"/>
      <c r="L39" s="325"/>
      <c r="M39" s="325"/>
      <c r="N39" s="325"/>
      <c r="O39" s="325"/>
      <c r="P39" s="325"/>
      <c r="Q39" s="325"/>
      <c r="R39" s="325"/>
      <c r="S39" s="325"/>
      <c r="T39" s="325"/>
      <c r="U39" s="325"/>
      <c r="V39" s="325"/>
      <c r="W39" s="325"/>
      <c r="X39" s="328"/>
    </row>
    <row r="40" spans="2:24">
      <c r="B40" s="324"/>
      <c r="C40" s="325"/>
      <c r="D40" s="325"/>
      <c r="E40" s="325"/>
      <c r="F40" s="325"/>
      <c r="G40" s="325"/>
      <c r="H40" s="325"/>
      <c r="I40" s="325"/>
      <c r="J40" s="325"/>
      <c r="K40" s="325"/>
      <c r="L40" s="325"/>
      <c r="M40" s="325"/>
      <c r="N40" s="325"/>
      <c r="O40" s="325"/>
      <c r="P40" s="325"/>
      <c r="Q40" s="325"/>
      <c r="R40" s="325"/>
      <c r="S40" s="325"/>
      <c r="T40" s="325"/>
      <c r="U40" s="325"/>
      <c r="V40" s="325"/>
      <c r="W40" s="325"/>
      <c r="X40" s="328"/>
    </row>
    <row r="41" spans="2:24">
      <c r="B41" s="324"/>
      <c r="C41" s="325"/>
      <c r="D41" s="325"/>
      <c r="E41" s="325"/>
      <c r="F41" s="325"/>
      <c r="G41" s="325"/>
      <c r="H41" s="325"/>
      <c r="I41" s="325"/>
      <c r="J41" s="325"/>
      <c r="K41" s="325"/>
      <c r="L41" s="325"/>
      <c r="M41" s="325"/>
      <c r="N41" s="325"/>
      <c r="O41" s="325"/>
      <c r="P41" s="325"/>
      <c r="Q41" s="325"/>
      <c r="R41" s="325"/>
      <c r="S41" s="325"/>
      <c r="T41" s="325"/>
      <c r="U41" s="325"/>
      <c r="V41" s="325"/>
      <c r="W41" s="325"/>
      <c r="X41" s="328"/>
    </row>
    <row r="42" spans="2:24">
      <c r="B42" s="324"/>
      <c r="C42" s="325"/>
      <c r="D42" s="325"/>
      <c r="E42" s="325"/>
      <c r="F42" s="325"/>
      <c r="G42" s="325"/>
      <c r="H42" s="325"/>
      <c r="I42" s="325"/>
      <c r="J42" s="325"/>
      <c r="K42" s="325"/>
      <c r="L42" s="325"/>
      <c r="M42" s="325"/>
      <c r="N42" s="325"/>
      <c r="O42" s="325"/>
      <c r="P42" s="325"/>
      <c r="Q42" s="325"/>
      <c r="R42" s="325"/>
      <c r="S42" s="325"/>
      <c r="T42" s="325"/>
      <c r="U42" s="325"/>
      <c r="V42" s="325"/>
      <c r="W42" s="325"/>
      <c r="X42" s="328"/>
    </row>
    <row r="43" spans="2:24">
      <c r="B43" s="324"/>
      <c r="C43" s="325"/>
      <c r="D43" s="325"/>
      <c r="E43" s="325"/>
      <c r="F43" s="325"/>
      <c r="G43" s="325"/>
      <c r="H43" s="325"/>
      <c r="I43" s="325"/>
      <c r="J43" s="325"/>
      <c r="K43" s="325"/>
      <c r="L43" s="325"/>
      <c r="M43" s="325"/>
      <c r="N43" s="325"/>
      <c r="O43" s="325"/>
      <c r="P43" s="325"/>
      <c r="Q43" s="325"/>
      <c r="R43" s="325"/>
      <c r="S43" s="325"/>
      <c r="T43" s="325"/>
      <c r="U43" s="325"/>
      <c r="V43" s="325"/>
      <c r="W43" s="325"/>
      <c r="X43" s="328"/>
    </row>
    <row r="44" spans="2:24">
      <c r="B44" s="324"/>
      <c r="C44" s="325"/>
      <c r="D44" s="325"/>
      <c r="E44" s="325"/>
      <c r="F44" s="325"/>
      <c r="G44" s="325"/>
      <c r="H44" s="325"/>
      <c r="I44" s="325"/>
      <c r="J44" s="325"/>
      <c r="K44" s="325"/>
      <c r="L44" s="325"/>
      <c r="M44" s="325"/>
      <c r="N44" s="325"/>
      <c r="O44" s="325"/>
      <c r="P44" s="325"/>
      <c r="Q44" s="325"/>
      <c r="R44" s="325"/>
      <c r="S44" s="325"/>
      <c r="T44" s="325"/>
      <c r="U44" s="325"/>
      <c r="V44" s="325"/>
      <c r="W44" s="325"/>
      <c r="X44" s="328"/>
    </row>
    <row r="45" spans="2:24" ht="15.95" thickBot="1">
      <c r="B45" s="350" t="s">
        <v>1</v>
      </c>
      <c r="C45" s="351"/>
      <c r="D45" s="351"/>
      <c r="E45" s="351"/>
      <c r="F45" s="351"/>
      <c r="G45" s="351"/>
      <c r="H45" s="327"/>
      <c r="I45" s="327"/>
      <c r="J45" s="327"/>
      <c r="K45" s="327"/>
      <c r="L45" s="327"/>
      <c r="M45" s="327"/>
      <c r="N45" s="327"/>
      <c r="O45" s="327"/>
      <c r="P45" s="327"/>
      <c r="Q45" s="327"/>
      <c r="R45" s="327"/>
      <c r="S45" s="327"/>
      <c r="T45" s="327"/>
      <c r="U45" s="327"/>
      <c r="V45" s="327"/>
      <c r="W45" s="327"/>
      <c r="X45" s="329"/>
    </row>
    <row r="46" spans="2:24" ht="15" thickTop="1">
      <c r="B46" s="257" t="s">
        <v>2</v>
      </c>
    </row>
    <row r="47" spans="2:24">
      <c r="B47" t="s">
        <v>3</v>
      </c>
    </row>
  </sheetData>
  <sheetProtection algorithmName="SHA-512" hashValue="6RQjlicLI5dp7d22zsGibde477V20jXeUFPEO6LzCMErhny40dAfptBaA1ykaV3W9hVNANK5Xh3Y8wr6qlZlSA==" saltValue="FyJ19kkI/SnGxVdNNW19dw==" spinCount="100000" sheet="1" objects="1" scenarios="1"/>
  <mergeCells count="2">
    <mergeCell ref="E4:U10"/>
    <mergeCell ref="B45:G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H53"/>
  <sheetViews>
    <sheetView showGridLines="0" zoomScale="90" zoomScaleNormal="90" workbookViewId="0">
      <selection activeCell="A3" sqref="A3:B3"/>
    </sheetView>
  </sheetViews>
  <sheetFormatPr defaultColWidth="9.140625" defaultRowHeight="14.45"/>
  <cols>
    <col min="1" max="1" width="26.140625" customWidth="1"/>
    <col min="2" max="2" width="14.28515625" customWidth="1"/>
    <col min="3" max="8" width="12.28515625" customWidth="1"/>
    <col min="9" max="9" width="4.28515625" customWidth="1"/>
  </cols>
  <sheetData>
    <row r="1" spans="1:8" ht="15" thickBot="1">
      <c r="A1" s="388" t="s">
        <v>4</v>
      </c>
      <c r="B1" s="389"/>
      <c r="C1" s="389"/>
      <c r="D1" s="389"/>
      <c r="E1" s="389"/>
      <c r="F1" s="389"/>
      <c r="G1" s="258"/>
      <c r="H1" s="259"/>
    </row>
    <row r="2" spans="1:8" ht="75" customHeight="1" thickBot="1">
      <c r="A2" s="15" t="s">
        <v>5</v>
      </c>
      <c r="B2" s="16">
        <v>0</v>
      </c>
      <c r="C2" s="358" t="s">
        <v>6</v>
      </c>
      <c r="D2" s="359"/>
      <c r="E2" s="359"/>
      <c r="F2" s="359"/>
      <c r="G2" s="359"/>
      <c r="H2" s="360"/>
    </row>
    <row r="3" spans="1:8" ht="45" customHeight="1" thickBot="1">
      <c r="A3" s="352" t="s">
        <v>1</v>
      </c>
      <c r="B3" s="353"/>
      <c r="C3" s="17" t="s">
        <v>7</v>
      </c>
      <c r="D3" s="17" t="s">
        <v>8</v>
      </c>
      <c r="E3" s="18" t="s">
        <v>9</v>
      </c>
      <c r="F3" s="18" t="s">
        <v>10</v>
      </c>
      <c r="G3" s="142" t="s">
        <v>11</v>
      </c>
      <c r="H3" s="142" t="s">
        <v>12</v>
      </c>
    </row>
    <row r="4" spans="1:8">
      <c r="A4" s="106" t="s">
        <v>13</v>
      </c>
      <c r="B4" s="107">
        <f>B2*100/13.5</f>
        <v>0</v>
      </c>
      <c r="C4" s="108"/>
      <c r="D4" s="109"/>
      <c r="E4" s="108"/>
      <c r="F4" s="110"/>
      <c r="G4" s="122"/>
      <c r="H4" s="111"/>
    </row>
    <row r="5" spans="1:8">
      <c r="A5" s="20" t="s">
        <v>14</v>
      </c>
      <c r="B5" s="21">
        <f>20/100*B4</f>
        <v>0</v>
      </c>
      <c r="C5" s="22"/>
      <c r="D5" s="23"/>
      <c r="E5" s="22"/>
      <c r="F5" s="24"/>
      <c r="G5" s="118"/>
      <c r="H5" s="105"/>
    </row>
    <row r="6" spans="1:8">
      <c r="A6" s="26" t="s">
        <v>15</v>
      </c>
      <c r="B6" s="27">
        <f>473/100*B4</f>
        <v>0</v>
      </c>
      <c r="C6" s="28"/>
      <c r="D6" s="29"/>
      <c r="E6" s="28"/>
      <c r="F6" s="30"/>
      <c r="G6" s="119"/>
      <c r="H6" s="31"/>
    </row>
    <row r="7" spans="1:8">
      <c r="A7" s="32" t="s">
        <v>16</v>
      </c>
      <c r="B7" s="33">
        <f>13.5/100*B4</f>
        <v>0</v>
      </c>
      <c r="C7" s="34">
        <v>9.1</v>
      </c>
      <c r="D7" s="35">
        <f>B7/C7</f>
        <v>0</v>
      </c>
      <c r="E7" s="36">
        <v>11</v>
      </c>
      <c r="F7" s="127">
        <f>B7/E7</f>
        <v>0</v>
      </c>
      <c r="G7" s="130">
        <v>13</v>
      </c>
      <c r="H7" s="43">
        <f>B7/G7</f>
        <v>0</v>
      </c>
    </row>
    <row r="8" spans="1:8" ht="14.25" customHeight="1">
      <c r="A8" s="26" t="s">
        <v>17</v>
      </c>
      <c r="B8" s="27">
        <f>23/100*B4</f>
        <v>0</v>
      </c>
      <c r="C8" s="28">
        <v>31</v>
      </c>
      <c r="D8" s="29">
        <f>B8/C8</f>
        <v>0</v>
      </c>
      <c r="E8" s="28">
        <v>30</v>
      </c>
      <c r="F8" s="37">
        <f>B8/E8</f>
        <v>0</v>
      </c>
      <c r="G8" s="119" t="s">
        <v>18</v>
      </c>
      <c r="H8" s="31"/>
    </row>
    <row r="9" spans="1:8">
      <c r="A9" s="112" t="s">
        <v>19</v>
      </c>
      <c r="B9" s="39">
        <f>7.5/100*B4</f>
        <v>0</v>
      </c>
      <c r="C9" s="40"/>
      <c r="D9" s="41"/>
      <c r="E9" s="40"/>
      <c r="F9" s="42"/>
      <c r="G9" s="120"/>
      <c r="H9" s="43"/>
    </row>
    <row r="10" spans="1:8">
      <c r="A10" s="113" t="s">
        <v>20</v>
      </c>
      <c r="B10" s="44">
        <f>9.4/100*B4</f>
        <v>0</v>
      </c>
      <c r="C10" s="45"/>
      <c r="D10" s="46"/>
      <c r="E10" s="45"/>
      <c r="F10" s="47"/>
      <c r="G10" s="124"/>
      <c r="H10" s="48"/>
    </row>
    <row r="11" spans="1:8">
      <c r="A11" s="112" t="s">
        <v>21</v>
      </c>
      <c r="B11" s="39">
        <f>5/100*B4</f>
        <v>0</v>
      </c>
      <c r="C11" s="40"/>
      <c r="D11" s="41"/>
      <c r="E11" s="40"/>
      <c r="F11" s="42"/>
      <c r="G11" s="120"/>
      <c r="H11" s="43"/>
    </row>
    <row r="12" spans="1:8">
      <c r="A12" s="114" t="s">
        <v>22</v>
      </c>
      <c r="B12" s="50">
        <f>70/100*B4</f>
        <v>0</v>
      </c>
      <c r="C12" s="51"/>
      <c r="D12" s="52"/>
      <c r="E12" s="51"/>
      <c r="F12" s="53"/>
      <c r="G12" s="125"/>
      <c r="H12" s="54"/>
    </row>
    <row r="13" spans="1:8">
      <c r="A13" s="115" t="s">
        <v>23</v>
      </c>
      <c r="B13" s="55">
        <f>140/100*B4</f>
        <v>0</v>
      </c>
      <c r="C13" s="56"/>
      <c r="D13" s="57"/>
      <c r="E13" s="56"/>
      <c r="F13" s="58"/>
      <c r="G13" s="126"/>
      <c r="H13" s="59"/>
    </row>
    <row r="14" spans="1:8">
      <c r="A14" s="116" t="s">
        <v>24</v>
      </c>
      <c r="B14" s="60">
        <f>3500/100*B4</f>
        <v>0</v>
      </c>
      <c r="C14" s="61">
        <v>4400</v>
      </c>
      <c r="D14" s="62">
        <f>B14/C14</f>
        <v>0</v>
      </c>
      <c r="E14" s="61">
        <v>4600</v>
      </c>
      <c r="F14" s="63">
        <f>B14/E14</f>
        <v>0</v>
      </c>
      <c r="G14" s="129">
        <v>7000</v>
      </c>
      <c r="H14" s="54">
        <f>B14/G14</f>
        <v>0</v>
      </c>
    </row>
    <row r="15" spans="1:8">
      <c r="A15" s="64" t="s">
        <v>25</v>
      </c>
      <c r="B15" s="65">
        <f>53/100*B4</f>
        <v>0</v>
      </c>
      <c r="C15" s="66">
        <v>60</v>
      </c>
      <c r="D15" s="67">
        <f>B15/C15</f>
        <v>0</v>
      </c>
      <c r="E15" s="66">
        <v>95</v>
      </c>
      <c r="F15" s="67">
        <f>B15/E15</f>
        <v>0</v>
      </c>
      <c r="G15" s="128">
        <v>130</v>
      </c>
      <c r="H15" s="68">
        <f>B15/G15</f>
        <v>0</v>
      </c>
    </row>
    <row r="16" spans="1:8">
      <c r="A16" s="117" t="s">
        <v>26</v>
      </c>
      <c r="B16" s="69">
        <f>5.3/100*B4</f>
        <v>0</v>
      </c>
      <c r="C16" s="70" t="s">
        <v>18</v>
      </c>
      <c r="D16" s="71"/>
      <c r="E16" s="70" t="s">
        <v>18</v>
      </c>
      <c r="F16" s="72"/>
      <c r="G16" s="152">
        <v>19</v>
      </c>
      <c r="H16" s="335">
        <f>B16/G16</f>
        <v>0</v>
      </c>
    </row>
    <row r="17" spans="1:8">
      <c r="A17" s="337" t="s">
        <v>27</v>
      </c>
      <c r="B17" s="65">
        <f>4.7/100*B4</f>
        <v>0</v>
      </c>
      <c r="C17" s="66"/>
      <c r="D17" s="67"/>
      <c r="E17" s="66"/>
      <c r="F17" s="67"/>
      <c r="G17" s="336"/>
      <c r="H17" s="67"/>
    </row>
    <row r="18" spans="1:8" ht="15" thickBot="1">
      <c r="A18" s="338" t="s">
        <v>28</v>
      </c>
      <c r="B18" s="334">
        <f>0.55/100*B4</f>
        <v>0</v>
      </c>
      <c r="C18" s="330"/>
      <c r="D18" s="331"/>
      <c r="E18" s="330"/>
      <c r="F18" s="331"/>
      <c r="G18" s="332"/>
      <c r="H18" s="333"/>
    </row>
    <row r="19" spans="1:8" ht="38.25" customHeight="1" thickBot="1">
      <c r="A19" s="354" t="s">
        <v>29</v>
      </c>
      <c r="B19" s="355"/>
      <c r="C19" s="73" t="s">
        <v>7</v>
      </c>
      <c r="D19" s="73" t="s">
        <v>8</v>
      </c>
      <c r="E19" s="19" t="s">
        <v>9</v>
      </c>
      <c r="F19" s="74" t="s">
        <v>10</v>
      </c>
      <c r="G19" s="142" t="s">
        <v>11</v>
      </c>
      <c r="H19" s="143" t="s">
        <v>12</v>
      </c>
    </row>
    <row r="20" spans="1:8">
      <c r="A20" s="20" t="s">
        <v>30</v>
      </c>
      <c r="B20" s="21">
        <f>392/100*B4</f>
        <v>0</v>
      </c>
      <c r="C20" s="22">
        <v>400</v>
      </c>
      <c r="D20" s="23">
        <f t="shared" ref="D20:D46" si="0">B20/C20</f>
        <v>0</v>
      </c>
      <c r="E20" s="22">
        <v>500</v>
      </c>
      <c r="F20" s="75">
        <f t="shared" ref="F20:F33" si="1">B20/E20</f>
        <v>0</v>
      </c>
      <c r="G20" s="131">
        <v>300</v>
      </c>
      <c r="H20" s="25">
        <f t="shared" ref="H20:H33" si="2">B20/G20</f>
        <v>0</v>
      </c>
    </row>
    <row r="21" spans="1:8">
      <c r="A21" s="26" t="s">
        <v>31</v>
      </c>
      <c r="B21" s="27">
        <f>8.7/100*B4</f>
        <v>0</v>
      </c>
      <c r="C21" s="28">
        <v>10</v>
      </c>
      <c r="D21" s="29">
        <f t="shared" si="0"/>
        <v>0</v>
      </c>
      <c r="E21" s="28">
        <v>10</v>
      </c>
      <c r="F21" s="37">
        <f t="shared" si="1"/>
        <v>0</v>
      </c>
      <c r="G21" s="133">
        <v>15</v>
      </c>
      <c r="H21" s="48">
        <f t="shared" si="2"/>
        <v>0</v>
      </c>
    </row>
    <row r="22" spans="1:8">
      <c r="A22" s="38" t="s">
        <v>32</v>
      </c>
      <c r="B22" s="39">
        <f>7.3/100*B4</f>
        <v>0</v>
      </c>
      <c r="C22" s="40">
        <v>4</v>
      </c>
      <c r="D22" s="41">
        <f t="shared" si="0"/>
        <v>0</v>
      </c>
      <c r="E22" s="40">
        <v>5</v>
      </c>
      <c r="F22" s="42">
        <f t="shared" si="1"/>
        <v>0</v>
      </c>
      <c r="G22" s="130">
        <v>6</v>
      </c>
      <c r="H22" s="43">
        <f t="shared" si="2"/>
        <v>0</v>
      </c>
    </row>
    <row r="23" spans="1:8">
      <c r="A23" s="26" t="s">
        <v>33</v>
      </c>
      <c r="B23" s="27">
        <f>38/100*B4</f>
        <v>0</v>
      </c>
      <c r="C23" s="119">
        <v>2</v>
      </c>
      <c r="D23" s="29">
        <f t="shared" si="0"/>
        <v>0</v>
      </c>
      <c r="E23" s="28">
        <v>2.5</v>
      </c>
      <c r="F23" s="37">
        <f t="shared" si="1"/>
        <v>0</v>
      </c>
      <c r="G23" s="134">
        <v>30</v>
      </c>
      <c r="H23" s="48">
        <f t="shared" si="2"/>
        <v>0</v>
      </c>
    </row>
    <row r="24" spans="1:8">
      <c r="A24" s="38" t="s">
        <v>34</v>
      </c>
      <c r="B24" s="76">
        <f>0.5/100*B4</f>
        <v>0</v>
      </c>
      <c r="C24" s="40">
        <v>0.2</v>
      </c>
      <c r="D24" s="41">
        <f t="shared" si="0"/>
        <v>0</v>
      </c>
      <c r="E24" s="40">
        <v>0.3</v>
      </c>
      <c r="F24" s="42">
        <f t="shared" si="1"/>
        <v>0</v>
      </c>
      <c r="G24" s="123">
        <v>0.5</v>
      </c>
      <c r="H24" s="43">
        <f t="shared" si="2"/>
        <v>0</v>
      </c>
    </row>
    <row r="25" spans="1:8">
      <c r="A25" s="26" t="s">
        <v>35</v>
      </c>
      <c r="B25" s="77">
        <f>0.5/100*B4</f>
        <v>0</v>
      </c>
      <c r="C25" s="28">
        <v>0.3</v>
      </c>
      <c r="D25" s="29">
        <f t="shared" si="0"/>
        <v>0</v>
      </c>
      <c r="E25" s="28">
        <v>0.4</v>
      </c>
      <c r="F25" s="37">
        <f t="shared" si="1"/>
        <v>0</v>
      </c>
      <c r="G25" s="132">
        <v>0.5</v>
      </c>
      <c r="H25" s="48">
        <f t="shared" si="2"/>
        <v>0</v>
      </c>
    </row>
    <row r="26" spans="1:8">
      <c r="A26" s="38" t="s">
        <v>36</v>
      </c>
      <c r="B26" s="76">
        <f>0.5/100*B4</f>
        <v>0</v>
      </c>
      <c r="C26" s="40">
        <v>0.1</v>
      </c>
      <c r="D26" s="41">
        <f t="shared" si="0"/>
        <v>0</v>
      </c>
      <c r="E26" s="40">
        <v>0.3</v>
      </c>
      <c r="F26" s="42">
        <f t="shared" si="1"/>
        <v>0</v>
      </c>
      <c r="G26" s="123">
        <v>0.5</v>
      </c>
      <c r="H26" s="43">
        <f t="shared" si="2"/>
        <v>0</v>
      </c>
    </row>
    <row r="27" spans="1:8">
      <c r="A27" s="26" t="s">
        <v>37</v>
      </c>
      <c r="B27" s="77">
        <f>1.2/100*B4</f>
        <v>0</v>
      </c>
      <c r="C27" s="28">
        <v>0.4</v>
      </c>
      <c r="D27" s="29">
        <f t="shared" si="0"/>
        <v>0</v>
      </c>
      <c r="E27" s="28">
        <v>0.5</v>
      </c>
      <c r="F27" s="37">
        <f t="shared" si="1"/>
        <v>0</v>
      </c>
      <c r="G27" s="132">
        <v>0.9</v>
      </c>
      <c r="H27" s="48">
        <f t="shared" si="2"/>
        <v>0</v>
      </c>
    </row>
    <row r="28" spans="1:8">
      <c r="A28" s="38" t="s">
        <v>38</v>
      </c>
      <c r="B28" s="39">
        <f>2.2/100*B4</f>
        <v>0</v>
      </c>
      <c r="C28" s="40">
        <v>2</v>
      </c>
      <c r="D28" s="41">
        <f t="shared" si="0"/>
        <v>0</v>
      </c>
      <c r="E28" s="40">
        <v>4</v>
      </c>
      <c r="F28" s="42">
        <f t="shared" si="1"/>
        <v>0</v>
      </c>
      <c r="G28" s="130">
        <v>6</v>
      </c>
      <c r="H28" s="43">
        <f t="shared" si="2"/>
        <v>0</v>
      </c>
    </row>
    <row r="29" spans="1:8">
      <c r="A29" s="26" t="s">
        <v>39</v>
      </c>
      <c r="B29" s="27">
        <f>55/100*B4</f>
        <v>0</v>
      </c>
      <c r="C29" s="28">
        <v>65</v>
      </c>
      <c r="D29" s="29">
        <f t="shared" si="0"/>
        <v>0</v>
      </c>
      <c r="E29" s="28">
        <v>80</v>
      </c>
      <c r="F29" s="37">
        <f t="shared" si="1"/>
        <v>0</v>
      </c>
      <c r="G29" s="133">
        <v>150</v>
      </c>
      <c r="H29" s="48">
        <f t="shared" si="2"/>
        <v>0</v>
      </c>
    </row>
    <row r="30" spans="1:8">
      <c r="A30" s="38" t="s">
        <v>40</v>
      </c>
      <c r="B30" s="39">
        <f>2.8/100*B4</f>
        <v>0</v>
      </c>
      <c r="C30" s="40">
        <v>1.7</v>
      </c>
      <c r="D30" s="41">
        <f t="shared" si="0"/>
        <v>0</v>
      </c>
      <c r="E30" s="40">
        <v>1.8</v>
      </c>
      <c r="F30" s="42">
        <f t="shared" si="1"/>
        <v>0</v>
      </c>
      <c r="G30" s="135">
        <v>2</v>
      </c>
      <c r="H30" s="43">
        <f t="shared" si="2"/>
        <v>0</v>
      </c>
    </row>
    <row r="31" spans="1:8">
      <c r="A31" s="26" t="s">
        <v>41</v>
      </c>
      <c r="B31" s="27">
        <f>18.2/100*B4</f>
        <v>0</v>
      </c>
      <c r="C31" s="28">
        <v>5</v>
      </c>
      <c r="D31" s="29">
        <f t="shared" si="0"/>
        <v>0</v>
      </c>
      <c r="E31" s="28">
        <v>6</v>
      </c>
      <c r="F31" s="37">
        <f t="shared" si="1"/>
        <v>0</v>
      </c>
      <c r="G31" s="134">
        <v>8</v>
      </c>
      <c r="H31" s="48">
        <f t="shared" si="2"/>
        <v>0</v>
      </c>
    </row>
    <row r="32" spans="1:8">
      <c r="A32" s="38" t="s">
        <v>42</v>
      </c>
      <c r="B32" s="39">
        <f>49/100*B4</f>
        <v>0</v>
      </c>
      <c r="C32" s="40">
        <v>40</v>
      </c>
      <c r="D32" s="41">
        <f t="shared" si="0"/>
        <v>0</v>
      </c>
      <c r="E32" s="40">
        <v>50</v>
      </c>
      <c r="F32" s="42">
        <f t="shared" si="1"/>
        <v>0</v>
      </c>
      <c r="G32" s="130">
        <v>15</v>
      </c>
      <c r="H32" s="43">
        <f t="shared" si="2"/>
        <v>0</v>
      </c>
    </row>
    <row r="33" spans="1:8">
      <c r="A33" s="26" t="s">
        <v>43</v>
      </c>
      <c r="B33" s="27">
        <f>91/100*B4</f>
        <v>0</v>
      </c>
      <c r="C33" s="28">
        <v>125</v>
      </c>
      <c r="D33" s="29">
        <f t="shared" si="0"/>
        <v>0</v>
      </c>
      <c r="E33" s="28">
        <v>150</v>
      </c>
      <c r="F33" s="37">
        <f t="shared" si="1"/>
        <v>0</v>
      </c>
      <c r="G33" s="134">
        <v>200</v>
      </c>
      <c r="H33" s="48">
        <f t="shared" si="2"/>
        <v>0</v>
      </c>
    </row>
    <row r="34" spans="1:8" ht="15" thickBot="1">
      <c r="A34" s="78" t="s">
        <v>44</v>
      </c>
      <c r="B34" s="79">
        <f>98/100*B4</f>
        <v>0</v>
      </c>
      <c r="C34" s="80" t="s">
        <v>18</v>
      </c>
      <c r="D34" s="81"/>
      <c r="E34" s="80" t="s">
        <v>18</v>
      </c>
      <c r="F34" s="82"/>
      <c r="G34" s="121" t="s">
        <v>18</v>
      </c>
      <c r="H34" s="83"/>
    </row>
    <row r="35" spans="1:8" ht="37.5" customHeight="1" thickBot="1">
      <c r="A35" s="356" t="s">
        <v>45</v>
      </c>
      <c r="B35" s="357"/>
      <c r="C35" s="73" t="s">
        <v>7</v>
      </c>
      <c r="D35" s="73" t="s">
        <v>8</v>
      </c>
      <c r="E35" s="19" t="s">
        <v>9</v>
      </c>
      <c r="F35" s="74" t="s">
        <v>10</v>
      </c>
      <c r="G35" s="142" t="s">
        <v>11</v>
      </c>
      <c r="H35" s="144" t="s">
        <v>12</v>
      </c>
    </row>
    <row r="36" spans="1:8">
      <c r="A36" s="20" t="s">
        <v>46</v>
      </c>
      <c r="B36" s="84">
        <f>371/100*B4</f>
        <v>0</v>
      </c>
      <c r="C36" s="85">
        <v>200</v>
      </c>
      <c r="D36" s="86">
        <f t="shared" si="0"/>
        <v>0</v>
      </c>
      <c r="E36" s="85">
        <v>260</v>
      </c>
      <c r="F36" s="87">
        <f t="shared" ref="F36:F46" si="3">B36/E36</f>
        <v>0</v>
      </c>
      <c r="G36" s="141">
        <v>700</v>
      </c>
      <c r="H36" s="88">
        <f t="shared" ref="H36:H49" si="4">B36/G36</f>
        <v>0</v>
      </c>
    </row>
    <row r="37" spans="1:8">
      <c r="A37" s="26" t="s">
        <v>47</v>
      </c>
      <c r="B37" s="44">
        <f>270/100*B4</f>
        <v>0</v>
      </c>
      <c r="C37" s="45">
        <v>100</v>
      </c>
      <c r="D37" s="46">
        <f t="shared" si="0"/>
        <v>0</v>
      </c>
      <c r="E37" s="45">
        <v>275</v>
      </c>
      <c r="F37" s="47">
        <f t="shared" si="3"/>
        <v>0</v>
      </c>
      <c r="G37" s="138">
        <v>460</v>
      </c>
      <c r="H37" s="48">
        <f t="shared" si="4"/>
        <v>0</v>
      </c>
    </row>
    <row r="38" spans="1:8">
      <c r="A38" s="38" t="s">
        <v>48</v>
      </c>
      <c r="B38" s="89">
        <f>52.5/100*B4</f>
        <v>0</v>
      </c>
      <c r="C38" s="90">
        <v>30</v>
      </c>
      <c r="D38" s="91">
        <f t="shared" si="0"/>
        <v>0</v>
      </c>
      <c r="E38" s="90">
        <v>75</v>
      </c>
      <c r="F38" s="92">
        <f t="shared" si="3"/>
        <v>0</v>
      </c>
      <c r="G38" s="139">
        <v>80</v>
      </c>
      <c r="H38" s="93">
        <f t="shared" si="4"/>
        <v>0</v>
      </c>
    </row>
    <row r="39" spans="1:8">
      <c r="A39" s="26" t="s">
        <v>49</v>
      </c>
      <c r="B39" s="44">
        <f>7.3/100*B4</f>
        <v>0</v>
      </c>
      <c r="C39" s="45">
        <v>0.27</v>
      </c>
      <c r="D39" s="46">
        <f t="shared" si="0"/>
        <v>0</v>
      </c>
      <c r="E39" s="94">
        <v>11</v>
      </c>
      <c r="F39" s="47">
        <f t="shared" si="3"/>
        <v>0</v>
      </c>
      <c r="G39" s="138">
        <v>7</v>
      </c>
      <c r="H39" s="48">
        <f t="shared" si="4"/>
        <v>0</v>
      </c>
    </row>
    <row r="40" spans="1:8">
      <c r="A40" s="38" t="s">
        <v>50</v>
      </c>
      <c r="B40" s="89">
        <f>5.2/100*B4</f>
        <v>0</v>
      </c>
      <c r="C40" s="90">
        <v>2</v>
      </c>
      <c r="D40" s="91">
        <f t="shared" si="0"/>
        <v>0</v>
      </c>
      <c r="E40" s="95">
        <v>3</v>
      </c>
      <c r="F40" s="92">
        <f t="shared" si="3"/>
        <v>0</v>
      </c>
      <c r="G40" s="139">
        <v>3</v>
      </c>
      <c r="H40" s="93">
        <f t="shared" si="4"/>
        <v>0</v>
      </c>
    </row>
    <row r="41" spans="1:8">
      <c r="A41" s="26" t="s">
        <v>51</v>
      </c>
      <c r="B41" s="96">
        <f>0.39/100*B4</f>
        <v>0</v>
      </c>
      <c r="C41" s="45">
        <v>3.0000000000000001E-3</v>
      </c>
      <c r="D41" s="46">
        <f t="shared" si="0"/>
        <v>0</v>
      </c>
      <c r="E41" s="45">
        <v>0.6</v>
      </c>
      <c r="F41" s="47">
        <f t="shared" si="3"/>
        <v>0</v>
      </c>
      <c r="G41" s="124">
        <v>1.2</v>
      </c>
      <c r="H41" s="48">
        <f t="shared" si="4"/>
        <v>0</v>
      </c>
    </row>
    <row r="42" spans="1:8">
      <c r="A42" s="38" t="s">
        <v>52</v>
      </c>
      <c r="B42" s="89">
        <f>390/100*B4</f>
        <v>0</v>
      </c>
      <c r="C42" s="90">
        <v>200</v>
      </c>
      <c r="D42" s="91">
        <f t="shared" si="0"/>
        <v>0</v>
      </c>
      <c r="E42" s="90">
        <v>220</v>
      </c>
      <c r="F42" s="92">
        <f t="shared" si="3"/>
        <v>0</v>
      </c>
      <c r="G42" s="139">
        <v>340</v>
      </c>
      <c r="H42" s="93">
        <f t="shared" si="4"/>
        <v>0</v>
      </c>
    </row>
    <row r="43" spans="1:8">
      <c r="A43" s="26" t="s">
        <v>53</v>
      </c>
      <c r="B43" s="44">
        <f>82.5/100*B4</f>
        <v>0</v>
      </c>
      <c r="C43" s="45">
        <v>110</v>
      </c>
      <c r="D43" s="46">
        <f t="shared" si="0"/>
        <v>0</v>
      </c>
      <c r="E43" s="45">
        <v>130</v>
      </c>
      <c r="F43" s="47">
        <f t="shared" si="3"/>
        <v>0</v>
      </c>
      <c r="G43" s="138">
        <v>90</v>
      </c>
      <c r="H43" s="48">
        <f t="shared" si="4"/>
        <v>0</v>
      </c>
    </row>
    <row r="44" spans="1:8">
      <c r="A44" s="38" t="s">
        <v>54</v>
      </c>
      <c r="B44" s="89">
        <f>10.9/100*B4</f>
        <v>0</v>
      </c>
      <c r="C44" s="90">
        <v>2</v>
      </c>
      <c r="D44" s="91">
        <f t="shared" si="0"/>
        <v>0</v>
      </c>
      <c r="E44" s="90">
        <v>3</v>
      </c>
      <c r="F44" s="92">
        <f t="shared" si="3"/>
        <v>0</v>
      </c>
      <c r="G44" s="139">
        <v>17</v>
      </c>
      <c r="H44" s="93">
        <f t="shared" si="4"/>
        <v>0</v>
      </c>
    </row>
    <row r="45" spans="1:8">
      <c r="A45" s="26" t="s">
        <v>55</v>
      </c>
      <c r="B45" s="44">
        <f>12.5/100*B4</f>
        <v>0</v>
      </c>
      <c r="C45" s="45">
        <v>0.2</v>
      </c>
      <c r="D45" s="46">
        <f t="shared" si="0"/>
        <v>0</v>
      </c>
      <c r="E45" s="45">
        <v>5.5</v>
      </c>
      <c r="F45" s="47">
        <f t="shared" si="3"/>
        <v>0</v>
      </c>
      <c r="G45" s="136">
        <v>11</v>
      </c>
      <c r="H45" s="48">
        <f t="shared" si="4"/>
        <v>0</v>
      </c>
    </row>
    <row r="46" spans="1:8">
      <c r="A46" s="38" t="s">
        <v>56</v>
      </c>
      <c r="B46" s="89">
        <f>14.1/100*B4</f>
        <v>0</v>
      </c>
      <c r="C46" s="90">
        <v>15</v>
      </c>
      <c r="D46" s="91">
        <f t="shared" si="0"/>
        <v>0</v>
      </c>
      <c r="E46" s="90">
        <v>20</v>
      </c>
      <c r="F46" s="92">
        <f t="shared" si="3"/>
        <v>0</v>
      </c>
      <c r="G46" s="139">
        <v>20</v>
      </c>
      <c r="H46" s="93">
        <f t="shared" si="4"/>
        <v>0</v>
      </c>
    </row>
    <row r="47" spans="1:8">
      <c r="A47" s="26" t="s">
        <v>57</v>
      </c>
      <c r="B47" s="44">
        <f>171/100*B4</f>
        <v>0</v>
      </c>
      <c r="C47" s="97">
        <v>110</v>
      </c>
      <c r="D47" s="46">
        <f>B47/C47</f>
        <v>0</v>
      </c>
      <c r="E47" s="97">
        <v>370</v>
      </c>
      <c r="F47" s="47">
        <f>B47/E47</f>
        <v>0</v>
      </c>
      <c r="G47" s="136">
        <v>800</v>
      </c>
      <c r="H47" s="48">
        <f t="shared" si="4"/>
        <v>0</v>
      </c>
    </row>
    <row r="48" spans="1:8">
      <c r="A48" s="38" t="s">
        <v>58</v>
      </c>
      <c r="B48" s="89">
        <f>454/100*B4</f>
        <v>0</v>
      </c>
      <c r="C48" s="98">
        <v>400</v>
      </c>
      <c r="D48" s="91">
        <f>B48/C48</f>
        <v>0</v>
      </c>
      <c r="E48" s="98">
        <v>860</v>
      </c>
      <c r="F48" s="92">
        <f>B48/E48</f>
        <v>0</v>
      </c>
      <c r="G48" s="137">
        <v>2000</v>
      </c>
      <c r="H48" s="93">
        <f t="shared" si="4"/>
        <v>0</v>
      </c>
    </row>
    <row r="49" spans="1:8" ht="15" thickBot="1">
      <c r="A49" s="99" t="s">
        <v>59</v>
      </c>
      <c r="B49" s="100">
        <f>321/100*B4</f>
        <v>0</v>
      </c>
      <c r="C49" s="101">
        <v>180</v>
      </c>
      <c r="D49" s="102">
        <f>B49/C49</f>
        <v>0</v>
      </c>
      <c r="E49" s="101">
        <v>570</v>
      </c>
      <c r="F49" s="103">
        <f>B49/E49</f>
        <v>0</v>
      </c>
      <c r="G49" s="140">
        <v>1500</v>
      </c>
      <c r="H49" s="104">
        <f t="shared" si="4"/>
        <v>0</v>
      </c>
    </row>
    <row r="50" spans="1:8">
      <c r="A50" s="260" t="s">
        <v>60</v>
      </c>
    </row>
    <row r="51" spans="1:8">
      <c r="A51" t="s">
        <v>61</v>
      </c>
    </row>
    <row r="52" spans="1:8">
      <c r="A52" t="s">
        <v>62</v>
      </c>
      <c r="G52" s="261"/>
      <c r="H52" s="261"/>
    </row>
    <row r="53" spans="1:8">
      <c r="A53" s="262" t="s">
        <v>63</v>
      </c>
    </row>
  </sheetData>
  <sheetProtection algorithmName="SHA-512" hashValue="0iIEL9p4I/2P/Agk0lqqt+XfaIwJOioFIMSl1Y2EODQCNSseRIAtbs0yoDzmVh5WdyL/SPgwJrWC7NHmjniCqQ==" saltValue="7u6mu5d5DVNZOXjwwgq1Ow==" spinCount="100000" sheet="1" objects="1" scenarios="1"/>
  <mergeCells count="5">
    <mergeCell ref="A1:F1"/>
    <mergeCell ref="A3:B3"/>
    <mergeCell ref="A19:B19"/>
    <mergeCell ref="A35:B35"/>
    <mergeCell ref="C2:H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J51"/>
  <sheetViews>
    <sheetView showGridLines="0" zoomScale="90" zoomScaleNormal="90" workbookViewId="0">
      <selection activeCell="A3" sqref="A3:B3"/>
    </sheetView>
  </sheetViews>
  <sheetFormatPr defaultColWidth="9.140625" defaultRowHeight="14.45"/>
  <cols>
    <col min="1" max="1" width="26" customWidth="1"/>
    <col min="2" max="2" width="12.5703125" customWidth="1"/>
    <col min="7" max="7" width="10.140625" customWidth="1"/>
    <col min="8" max="9" width="10.5703125" customWidth="1"/>
    <col min="10" max="10" width="9.85546875" customWidth="1"/>
    <col min="11" max="11" width="4.28515625" customWidth="1"/>
  </cols>
  <sheetData>
    <row r="1" spans="1:10" ht="15" thickBot="1">
      <c r="A1" s="263" t="s">
        <v>4</v>
      </c>
      <c r="B1" s="264" t="s">
        <v>64</v>
      </c>
      <c r="C1" s="264" t="s">
        <v>64</v>
      </c>
      <c r="D1" s="264" t="s">
        <v>64</v>
      </c>
      <c r="E1" s="264"/>
      <c r="F1" s="264"/>
      <c r="G1" s="265"/>
      <c r="H1" s="265"/>
      <c r="I1" s="265"/>
      <c r="J1" s="266"/>
    </row>
    <row r="2" spans="1:10" ht="75" customHeight="1" thickBot="1">
      <c r="A2" s="267" t="s">
        <v>5</v>
      </c>
      <c r="B2" s="13">
        <v>0</v>
      </c>
      <c r="C2" s="361" t="s">
        <v>65</v>
      </c>
      <c r="D2" s="362"/>
      <c r="E2" s="362"/>
      <c r="F2" s="362"/>
      <c r="G2" s="390"/>
      <c r="H2" s="390"/>
      <c r="I2" s="390"/>
      <c r="J2" s="391"/>
    </row>
    <row r="3" spans="1:10" ht="44.1" thickBot="1">
      <c r="A3" s="363" t="s">
        <v>66</v>
      </c>
      <c r="B3" s="364"/>
      <c r="C3" s="268" t="s">
        <v>67</v>
      </c>
      <c r="D3" s="268" t="s">
        <v>12</v>
      </c>
      <c r="E3" s="18" t="s">
        <v>68</v>
      </c>
      <c r="F3" s="269" t="s">
        <v>69</v>
      </c>
      <c r="G3" s="270" t="s">
        <v>70</v>
      </c>
      <c r="H3" s="270" t="s">
        <v>71</v>
      </c>
      <c r="I3" s="271" t="s">
        <v>72</v>
      </c>
      <c r="J3" s="271" t="s">
        <v>73</v>
      </c>
    </row>
    <row r="4" spans="1:10">
      <c r="A4" s="312" t="s">
        <v>13</v>
      </c>
      <c r="B4" s="313">
        <f>B2*100/28</f>
        <v>0</v>
      </c>
      <c r="C4" s="165"/>
      <c r="D4" s="166"/>
      <c r="E4" s="165"/>
      <c r="F4" s="167"/>
      <c r="G4" s="154"/>
      <c r="H4" s="145"/>
      <c r="I4" s="145"/>
      <c r="J4" s="148"/>
    </row>
    <row r="5" spans="1:10">
      <c r="A5" s="168" t="s">
        <v>74</v>
      </c>
      <c r="B5" s="169">
        <f>(100/9)/100*B4</f>
        <v>0</v>
      </c>
      <c r="C5" s="170"/>
      <c r="D5" s="171"/>
      <c r="E5" s="170"/>
      <c r="F5" s="172"/>
      <c r="G5" s="155"/>
      <c r="H5" s="150"/>
      <c r="I5" s="150"/>
      <c r="J5" s="151"/>
    </row>
    <row r="6" spans="1:10">
      <c r="A6" s="173" t="s">
        <v>75</v>
      </c>
      <c r="B6" s="174">
        <f>377/100*B4</f>
        <v>0</v>
      </c>
      <c r="C6" s="175"/>
      <c r="D6" s="176"/>
      <c r="E6" s="175"/>
      <c r="F6" s="177"/>
      <c r="G6" s="156"/>
      <c r="H6" s="146"/>
      <c r="I6" s="146"/>
      <c r="J6" s="149"/>
    </row>
    <row r="7" spans="1:10">
      <c r="A7" s="178" t="s">
        <v>16</v>
      </c>
      <c r="B7" s="179">
        <f>B2</f>
        <v>0</v>
      </c>
      <c r="C7" s="180">
        <v>13</v>
      </c>
      <c r="D7" s="181">
        <f>B7/C7</f>
        <v>0</v>
      </c>
      <c r="E7" s="180">
        <v>19</v>
      </c>
      <c r="F7" s="182">
        <f>B7/E7</f>
        <v>0</v>
      </c>
      <c r="G7" s="183">
        <v>34</v>
      </c>
      <c r="H7" s="184">
        <f>B7/G7</f>
        <v>0</v>
      </c>
      <c r="I7" s="183">
        <v>34</v>
      </c>
      <c r="J7" s="185">
        <f>B7/I7</f>
        <v>0</v>
      </c>
    </row>
    <row r="8" spans="1:10">
      <c r="A8" s="186" t="s">
        <v>17</v>
      </c>
      <c r="B8" s="187">
        <f>12.5/100*B4</f>
        <v>0</v>
      </c>
      <c r="C8" s="188"/>
      <c r="D8" s="189"/>
      <c r="E8" s="188"/>
      <c r="F8" s="190"/>
      <c r="G8" s="157"/>
      <c r="H8" s="147"/>
      <c r="I8" s="153"/>
      <c r="J8" s="191"/>
    </row>
    <row r="9" spans="1:10">
      <c r="A9" s="272" t="s">
        <v>76</v>
      </c>
      <c r="B9" s="77">
        <f>2/28*B2</f>
        <v>0</v>
      </c>
      <c r="C9" s="28"/>
      <c r="D9" s="29"/>
      <c r="E9" s="28"/>
      <c r="F9" s="29"/>
      <c r="G9" s="157"/>
      <c r="H9" s="147"/>
      <c r="I9" s="153"/>
      <c r="J9" s="191"/>
    </row>
    <row r="10" spans="1:10">
      <c r="A10" s="272" t="s">
        <v>77</v>
      </c>
      <c r="B10" s="77">
        <f>8.2/28*B2</f>
        <v>0</v>
      </c>
      <c r="C10" s="28"/>
      <c r="D10" s="29"/>
      <c r="E10" s="28"/>
      <c r="F10" s="29"/>
      <c r="G10" s="157"/>
      <c r="H10" s="147"/>
      <c r="I10" s="153"/>
      <c r="J10" s="191"/>
    </row>
    <row r="11" spans="1:10">
      <c r="A11" s="272" t="s">
        <v>78</v>
      </c>
      <c r="B11" s="77">
        <f>1.8/28*B2</f>
        <v>0</v>
      </c>
      <c r="C11" s="28"/>
      <c r="D11" s="29"/>
      <c r="E11" s="28"/>
      <c r="F11" s="29"/>
      <c r="G11" s="157"/>
      <c r="H11" s="147"/>
      <c r="I11" s="153"/>
      <c r="J11" s="191"/>
    </row>
    <row r="12" spans="1:10">
      <c r="A12" s="49" t="s">
        <v>79</v>
      </c>
      <c r="B12" s="50">
        <f>180/100*B4</f>
        <v>0</v>
      </c>
      <c r="C12" s="28"/>
      <c r="D12" s="29"/>
      <c r="E12" s="28"/>
      <c r="F12" s="29"/>
      <c r="G12" s="158"/>
      <c r="H12" s="147"/>
      <c r="I12" s="153"/>
      <c r="J12" s="191"/>
    </row>
    <row r="13" spans="1:10">
      <c r="A13" s="38" t="s">
        <v>25</v>
      </c>
      <c r="B13" s="39">
        <f>41.2/100*B4</f>
        <v>0</v>
      </c>
      <c r="C13" s="192">
        <v>130</v>
      </c>
      <c r="D13" s="41">
        <f>B13/C13</f>
        <v>0</v>
      </c>
      <c r="E13" s="192">
        <v>130</v>
      </c>
      <c r="F13" s="41">
        <f>B13/E13</f>
        <v>0</v>
      </c>
      <c r="G13" s="183">
        <v>130</v>
      </c>
      <c r="H13" s="184">
        <f>B13/G13</f>
        <v>0</v>
      </c>
      <c r="I13" s="183">
        <v>130</v>
      </c>
      <c r="J13" s="185">
        <f>B13/I13</f>
        <v>0</v>
      </c>
    </row>
    <row r="14" spans="1:10">
      <c r="A14" s="49" t="s">
        <v>80</v>
      </c>
      <c r="B14" s="50">
        <f>11.2/100*B4</f>
        <v>0</v>
      </c>
      <c r="C14" s="51">
        <v>19</v>
      </c>
      <c r="D14" s="52">
        <f>B14/C14</f>
        <v>0</v>
      </c>
      <c r="E14" s="51">
        <v>25</v>
      </c>
      <c r="F14" s="52">
        <f>B14/E14</f>
        <v>0</v>
      </c>
      <c r="G14" s="193">
        <v>31</v>
      </c>
      <c r="H14" s="194">
        <f>B14/G14</f>
        <v>0</v>
      </c>
      <c r="I14" s="193">
        <v>26</v>
      </c>
      <c r="J14" s="195">
        <f>B14/I14</f>
        <v>0</v>
      </c>
    </row>
    <row r="15" spans="1:10">
      <c r="A15" s="49" t="s">
        <v>81</v>
      </c>
      <c r="B15" s="50">
        <f>8/100*B4</f>
        <v>0</v>
      </c>
      <c r="C15" s="51"/>
      <c r="D15" s="52"/>
      <c r="E15" s="51"/>
      <c r="F15" s="52"/>
      <c r="G15" s="193"/>
      <c r="H15" s="194"/>
      <c r="I15" s="196"/>
      <c r="J15" s="195"/>
    </row>
    <row r="16" spans="1:10" ht="15" thickBot="1">
      <c r="A16" s="197" t="s">
        <v>82</v>
      </c>
      <c r="B16" s="251">
        <f>3.2/100*B4</f>
        <v>0</v>
      </c>
      <c r="C16" s="198"/>
      <c r="D16" s="199"/>
      <c r="E16" s="198"/>
      <c r="F16" s="199"/>
      <c r="G16" s="200"/>
      <c r="H16" s="201"/>
      <c r="I16" s="202"/>
      <c r="J16" s="203"/>
    </row>
    <row r="17" spans="1:10" ht="44.1" thickBot="1">
      <c r="A17" s="365" t="s">
        <v>29</v>
      </c>
      <c r="B17" s="366"/>
      <c r="C17" s="268" t="s">
        <v>67</v>
      </c>
      <c r="D17" s="268" t="s">
        <v>12</v>
      </c>
      <c r="E17" s="18" t="s">
        <v>68</v>
      </c>
      <c r="F17" s="269" t="s">
        <v>69</v>
      </c>
      <c r="G17" s="270" t="s">
        <v>70</v>
      </c>
      <c r="H17" s="270" t="s">
        <v>71</v>
      </c>
      <c r="I17" s="271" t="s">
        <v>72</v>
      </c>
      <c r="J17" s="271" t="s">
        <v>73</v>
      </c>
    </row>
    <row r="18" spans="1:10">
      <c r="A18" s="204" t="s">
        <v>30</v>
      </c>
      <c r="B18" s="252">
        <f>525/100*B4</f>
        <v>0</v>
      </c>
      <c r="C18" s="227">
        <v>300</v>
      </c>
      <c r="D18" s="205">
        <f t="shared" ref="D18:D44" si="0">B18/C18</f>
        <v>0</v>
      </c>
      <c r="E18" s="227">
        <v>400</v>
      </c>
      <c r="F18" s="206">
        <f t="shared" ref="F18:F31" si="1">B18/E18</f>
        <v>0</v>
      </c>
      <c r="G18" s="230">
        <v>600</v>
      </c>
      <c r="H18" s="207">
        <f>B18/G18</f>
        <v>0</v>
      </c>
      <c r="I18" s="230">
        <v>600</v>
      </c>
      <c r="J18" s="208">
        <f>B18/I18</f>
        <v>0</v>
      </c>
    </row>
    <row r="19" spans="1:10">
      <c r="A19" s="173" t="s">
        <v>31</v>
      </c>
      <c r="B19" s="174">
        <f>26.3/100*B4</f>
        <v>0</v>
      </c>
      <c r="C19" s="228">
        <v>15</v>
      </c>
      <c r="D19" s="209">
        <f t="shared" si="0"/>
        <v>0</v>
      </c>
      <c r="E19" s="228">
        <v>15</v>
      </c>
      <c r="F19" s="177">
        <f t="shared" si="1"/>
        <v>0</v>
      </c>
      <c r="G19" s="231">
        <v>15</v>
      </c>
      <c r="H19" s="159">
        <f t="shared" ref="H19:H31" si="2">B19/G19</f>
        <v>0</v>
      </c>
      <c r="I19" s="231">
        <v>15</v>
      </c>
      <c r="J19" s="162">
        <f t="shared" ref="J19:J31" si="3">B19/I19</f>
        <v>0</v>
      </c>
    </row>
    <row r="20" spans="1:10">
      <c r="A20" s="178" t="s">
        <v>32</v>
      </c>
      <c r="B20" s="179">
        <f>10.5/100*B4</f>
        <v>0</v>
      </c>
      <c r="C20" s="180">
        <v>6</v>
      </c>
      <c r="D20" s="181">
        <f t="shared" si="0"/>
        <v>0</v>
      </c>
      <c r="E20" s="180">
        <v>7</v>
      </c>
      <c r="F20" s="182">
        <f t="shared" si="1"/>
        <v>0</v>
      </c>
      <c r="G20" s="232">
        <v>11</v>
      </c>
      <c r="H20" s="184">
        <f t="shared" si="2"/>
        <v>0</v>
      </c>
      <c r="I20" s="232">
        <v>11</v>
      </c>
      <c r="J20" s="185">
        <f t="shared" si="3"/>
        <v>0</v>
      </c>
    </row>
    <row r="21" spans="1:10">
      <c r="A21" s="173" t="s">
        <v>33</v>
      </c>
      <c r="B21" s="174">
        <f>17.5/100*B4</f>
        <v>0</v>
      </c>
      <c r="C21" s="175">
        <v>30</v>
      </c>
      <c r="D21" s="209">
        <f t="shared" si="0"/>
        <v>0</v>
      </c>
      <c r="E21" s="175">
        <v>55</v>
      </c>
      <c r="F21" s="177">
        <f t="shared" si="1"/>
        <v>0</v>
      </c>
      <c r="G21" s="233">
        <v>60</v>
      </c>
      <c r="H21" s="159">
        <f t="shared" si="2"/>
        <v>0</v>
      </c>
      <c r="I21" s="233">
        <v>60</v>
      </c>
      <c r="J21" s="162">
        <f t="shared" si="3"/>
        <v>0</v>
      </c>
    </row>
    <row r="22" spans="1:10">
      <c r="A22" s="178" t="s">
        <v>34</v>
      </c>
      <c r="B22" s="210">
        <f>0.91/100*B4</f>
        <v>0</v>
      </c>
      <c r="C22" s="180">
        <v>0.5</v>
      </c>
      <c r="D22" s="181">
        <f t="shared" si="0"/>
        <v>0</v>
      </c>
      <c r="E22" s="180">
        <v>0.6</v>
      </c>
      <c r="F22" s="182">
        <f t="shared" si="1"/>
        <v>0</v>
      </c>
      <c r="G22" s="234">
        <v>0.9</v>
      </c>
      <c r="H22" s="184">
        <f t="shared" si="2"/>
        <v>0</v>
      </c>
      <c r="I22" s="234">
        <v>0.9</v>
      </c>
      <c r="J22" s="185">
        <f t="shared" si="3"/>
        <v>0</v>
      </c>
    </row>
    <row r="23" spans="1:10">
      <c r="A23" s="173" t="s">
        <v>35</v>
      </c>
      <c r="B23" s="211">
        <f>0.91/100*B4</f>
        <v>0</v>
      </c>
      <c r="C23" s="228">
        <v>0.5</v>
      </c>
      <c r="D23" s="209">
        <f t="shared" si="0"/>
        <v>0</v>
      </c>
      <c r="E23" s="228">
        <v>0.6</v>
      </c>
      <c r="F23" s="177">
        <f t="shared" si="1"/>
        <v>0</v>
      </c>
      <c r="G23" s="235">
        <v>0.9</v>
      </c>
      <c r="H23" s="212">
        <f t="shared" si="2"/>
        <v>0</v>
      </c>
      <c r="I23" s="235">
        <v>0.9</v>
      </c>
      <c r="J23" s="213">
        <f t="shared" si="3"/>
        <v>0</v>
      </c>
    </row>
    <row r="24" spans="1:10">
      <c r="A24" s="178" t="s">
        <v>36</v>
      </c>
      <c r="B24" s="210">
        <f>0.91/100*B4</f>
        <v>0</v>
      </c>
      <c r="C24" s="180">
        <v>0.5</v>
      </c>
      <c r="D24" s="181">
        <f t="shared" si="0"/>
        <v>0</v>
      </c>
      <c r="E24" s="180">
        <v>0.6</v>
      </c>
      <c r="F24" s="182">
        <f t="shared" si="1"/>
        <v>0</v>
      </c>
      <c r="G24" s="234">
        <v>1</v>
      </c>
      <c r="H24" s="184">
        <f t="shared" si="2"/>
        <v>0</v>
      </c>
      <c r="I24" s="234">
        <v>1</v>
      </c>
      <c r="J24" s="185">
        <f t="shared" si="3"/>
        <v>0</v>
      </c>
    </row>
    <row r="25" spans="1:10">
      <c r="A25" s="173" t="s">
        <v>37</v>
      </c>
      <c r="B25" s="211">
        <f>1.6/100*B4</f>
        <v>0</v>
      </c>
      <c r="C25" s="228">
        <v>0.9</v>
      </c>
      <c r="D25" s="209">
        <f t="shared" si="0"/>
        <v>0</v>
      </c>
      <c r="E25" s="228">
        <v>1.2</v>
      </c>
      <c r="F25" s="177">
        <f t="shared" si="1"/>
        <v>0</v>
      </c>
      <c r="G25" s="235">
        <v>1.8</v>
      </c>
      <c r="H25" s="212">
        <f t="shared" si="2"/>
        <v>0</v>
      </c>
      <c r="I25" s="235">
        <v>1.8</v>
      </c>
      <c r="J25" s="213">
        <f t="shared" si="3"/>
        <v>0</v>
      </c>
    </row>
    <row r="26" spans="1:10">
      <c r="A26" s="178" t="s">
        <v>38</v>
      </c>
      <c r="B26" s="210">
        <f>2.5/100*B4</f>
        <v>0</v>
      </c>
      <c r="C26" s="180">
        <v>6</v>
      </c>
      <c r="D26" s="181">
        <f t="shared" si="0"/>
        <v>0</v>
      </c>
      <c r="E26" s="180">
        <v>8</v>
      </c>
      <c r="F26" s="182">
        <f t="shared" si="1"/>
        <v>0</v>
      </c>
      <c r="G26" s="232">
        <v>12</v>
      </c>
      <c r="H26" s="184">
        <f t="shared" si="2"/>
        <v>0</v>
      </c>
      <c r="I26" s="232">
        <v>12</v>
      </c>
      <c r="J26" s="185">
        <f t="shared" si="3"/>
        <v>0</v>
      </c>
    </row>
    <row r="27" spans="1:10">
      <c r="A27" s="173" t="s">
        <v>39</v>
      </c>
      <c r="B27" s="174">
        <f>263/100*B4</f>
        <v>0</v>
      </c>
      <c r="C27" s="228">
        <v>150</v>
      </c>
      <c r="D27" s="209">
        <f t="shared" si="0"/>
        <v>0</v>
      </c>
      <c r="E27" s="228">
        <v>200</v>
      </c>
      <c r="F27" s="177">
        <f t="shared" si="1"/>
        <v>0</v>
      </c>
      <c r="G27" s="236">
        <v>300</v>
      </c>
      <c r="H27" s="212">
        <f t="shared" si="2"/>
        <v>0</v>
      </c>
      <c r="I27" s="236">
        <v>300</v>
      </c>
      <c r="J27" s="213">
        <f t="shared" si="3"/>
        <v>0</v>
      </c>
    </row>
    <row r="28" spans="1:10">
      <c r="A28" s="178" t="s">
        <v>40</v>
      </c>
      <c r="B28" s="179">
        <f>5.3/100*B4</f>
        <v>0</v>
      </c>
      <c r="C28" s="229">
        <v>2</v>
      </c>
      <c r="D28" s="181">
        <f t="shared" si="0"/>
        <v>0</v>
      </c>
      <c r="E28" s="229">
        <v>3</v>
      </c>
      <c r="F28" s="182">
        <f t="shared" si="1"/>
        <v>0</v>
      </c>
      <c r="G28" s="237">
        <v>4</v>
      </c>
      <c r="H28" s="160">
        <f t="shared" si="2"/>
        <v>0</v>
      </c>
      <c r="I28" s="237">
        <v>4</v>
      </c>
      <c r="J28" s="163">
        <f t="shared" si="3"/>
        <v>0</v>
      </c>
    </row>
    <row r="29" spans="1:10">
      <c r="A29" s="173" t="s">
        <v>41</v>
      </c>
      <c r="B29" s="174">
        <f>14/100*B4</f>
        <v>0</v>
      </c>
      <c r="C29" s="175">
        <v>8</v>
      </c>
      <c r="D29" s="209">
        <f t="shared" si="0"/>
        <v>0</v>
      </c>
      <c r="E29" s="175">
        <v>12</v>
      </c>
      <c r="F29" s="177">
        <f t="shared" si="1"/>
        <v>0</v>
      </c>
      <c r="G29" s="233">
        <v>20</v>
      </c>
      <c r="H29" s="159">
        <f t="shared" si="2"/>
        <v>0</v>
      </c>
      <c r="I29" s="233">
        <v>20</v>
      </c>
      <c r="J29" s="162">
        <f t="shared" si="3"/>
        <v>0</v>
      </c>
    </row>
    <row r="30" spans="1:10">
      <c r="A30" s="178" t="s">
        <v>42</v>
      </c>
      <c r="B30" s="179">
        <f>52.5/100*B4</f>
        <v>0</v>
      </c>
      <c r="C30" s="180">
        <v>15</v>
      </c>
      <c r="D30" s="181">
        <f t="shared" si="0"/>
        <v>0</v>
      </c>
      <c r="E30" s="180">
        <v>25</v>
      </c>
      <c r="F30" s="182">
        <f t="shared" si="1"/>
        <v>0</v>
      </c>
      <c r="G30" s="232">
        <v>45</v>
      </c>
      <c r="H30" s="184">
        <f t="shared" si="2"/>
        <v>0</v>
      </c>
      <c r="I30" s="232">
        <v>45</v>
      </c>
      <c r="J30" s="185">
        <f t="shared" si="3"/>
        <v>0</v>
      </c>
    </row>
    <row r="31" spans="1:10">
      <c r="A31" s="173" t="s">
        <v>43</v>
      </c>
      <c r="B31" s="174">
        <f>280/100*B4</f>
        <v>0</v>
      </c>
      <c r="C31" s="188">
        <v>200</v>
      </c>
      <c r="D31" s="189">
        <f t="shared" si="0"/>
        <v>0</v>
      </c>
      <c r="E31" s="188">
        <v>250</v>
      </c>
      <c r="F31" s="190">
        <f t="shared" si="1"/>
        <v>0</v>
      </c>
      <c r="G31" s="233">
        <v>375</v>
      </c>
      <c r="H31" s="159">
        <f t="shared" si="2"/>
        <v>0</v>
      </c>
      <c r="I31" s="233">
        <v>375</v>
      </c>
      <c r="J31" s="162">
        <f t="shared" si="3"/>
        <v>0</v>
      </c>
    </row>
    <row r="32" spans="1:10" ht="15" thickBot="1">
      <c r="A32" s="214" t="s">
        <v>44</v>
      </c>
      <c r="B32" s="215">
        <f>70/100*B4</f>
        <v>0</v>
      </c>
      <c r="C32" s="239" t="s">
        <v>18</v>
      </c>
      <c r="D32" s="240"/>
      <c r="E32" s="239" t="s">
        <v>18</v>
      </c>
      <c r="F32" s="241"/>
      <c r="G32" s="238" t="s">
        <v>18</v>
      </c>
      <c r="H32" s="161"/>
      <c r="I32" s="238" t="s">
        <v>18</v>
      </c>
      <c r="J32" s="164"/>
    </row>
    <row r="33" spans="1:10" ht="44.1" thickBot="1">
      <c r="A33" s="354" t="s">
        <v>83</v>
      </c>
      <c r="B33" s="355"/>
      <c r="C33" s="268" t="s">
        <v>67</v>
      </c>
      <c r="D33" s="268" t="s">
        <v>12</v>
      </c>
      <c r="E33" s="18" t="s">
        <v>68</v>
      </c>
      <c r="F33" s="269" t="s">
        <v>69</v>
      </c>
      <c r="G33" s="273" t="s">
        <v>70</v>
      </c>
      <c r="H33" s="273" t="s">
        <v>71</v>
      </c>
      <c r="I33" s="274" t="s">
        <v>72</v>
      </c>
      <c r="J33" s="274" t="s">
        <v>73</v>
      </c>
    </row>
    <row r="34" spans="1:10">
      <c r="A34" s="204" t="s">
        <v>46</v>
      </c>
      <c r="B34" s="252">
        <f>1225/100*B4</f>
        <v>0</v>
      </c>
      <c r="C34" s="227">
        <v>700</v>
      </c>
      <c r="D34" s="205">
        <f t="shared" si="0"/>
        <v>0</v>
      </c>
      <c r="E34" s="227">
        <v>1000</v>
      </c>
      <c r="F34" s="206">
        <f t="shared" ref="F34:F44" si="4">B34/E34</f>
        <v>0</v>
      </c>
      <c r="G34" s="248">
        <v>1300</v>
      </c>
      <c r="H34" s="218">
        <f>B34/G34</f>
        <v>0</v>
      </c>
      <c r="I34" s="248">
        <v>1300</v>
      </c>
      <c r="J34" s="219">
        <f>B34/I34</f>
        <v>0</v>
      </c>
    </row>
    <row r="35" spans="1:10">
      <c r="A35" s="173" t="s">
        <v>47</v>
      </c>
      <c r="B35" s="253">
        <f>801/100*B4</f>
        <v>0</v>
      </c>
      <c r="C35" s="228">
        <v>460</v>
      </c>
      <c r="D35" s="209">
        <f t="shared" si="0"/>
        <v>0</v>
      </c>
      <c r="E35" s="228">
        <v>500</v>
      </c>
      <c r="F35" s="177">
        <f t="shared" si="4"/>
        <v>0</v>
      </c>
      <c r="G35" s="236">
        <v>1250</v>
      </c>
      <c r="H35" s="212">
        <f t="shared" ref="H35:H47" si="5">B35/G35</f>
        <v>0</v>
      </c>
      <c r="I35" s="236">
        <v>1250</v>
      </c>
      <c r="J35" s="213">
        <f t="shared" ref="J35:J47" si="6">B35/I35</f>
        <v>0</v>
      </c>
    </row>
    <row r="36" spans="1:10">
      <c r="A36" s="178" t="s">
        <v>48</v>
      </c>
      <c r="B36" s="179">
        <f>140/100*B4</f>
        <v>0</v>
      </c>
      <c r="C36" s="180">
        <v>80</v>
      </c>
      <c r="D36" s="181">
        <f t="shared" si="0"/>
        <v>0</v>
      </c>
      <c r="E36" s="180">
        <v>130</v>
      </c>
      <c r="F36" s="182">
        <f t="shared" si="4"/>
        <v>0</v>
      </c>
      <c r="G36" s="232">
        <v>240</v>
      </c>
      <c r="H36" s="184">
        <f t="shared" si="5"/>
        <v>0</v>
      </c>
      <c r="I36" s="232">
        <v>240</v>
      </c>
      <c r="J36" s="185">
        <f t="shared" si="6"/>
        <v>0</v>
      </c>
    </row>
    <row r="37" spans="1:10">
      <c r="A37" s="173" t="s">
        <v>49</v>
      </c>
      <c r="B37" s="174">
        <f>12.5/100*B4</f>
        <v>0</v>
      </c>
      <c r="C37" s="228">
        <v>7</v>
      </c>
      <c r="D37" s="209">
        <f t="shared" si="0"/>
        <v>0</v>
      </c>
      <c r="E37" s="228">
        <v>10</v>
      </c>
      <c r="F37" s="177">
        <f t="shared" si="4"/>
        <v>0</v>
      </c>
      <c r="G37" s="236">
        <v>8</v>
      </c>
      <c r="H37" s="212">
        <f t="shared" si="5"/>
        <v>0</v>
      </c>
      <c r="I37" s="236">
        <v>8</v>
      </c>
      <c r="J37" s="213">
        <f t="shared" si="6"/>
        <v>0</v>
      </c>
    </row>
    <row r="38" spans="1:10">
      <c r="A38" s="178" t="s">
        <v>50</v>
      </c>
      <c r="B38" s="179">
        <f>6.1/100*B4</f>
        <v>0</v>
      </c>
      <c r="C38" s="180">
        <v>3</v>
      </c>
      <c r="D38" s="181">
        <f t="shared" si="0"/>
        <v>0</v>
      </c>
      <c r="E38" s="180">
        <v>5</v>
      </c>
      <c r="F38" s="182">
        <f t="shared" si="4"/>
        <v>0</v>
      </c>
      <c r="G38" s="232">
        <v>8</v>
      </c>
      <c r="H38" s="184">
        <f t="shared" si="5"/>
        <v>0</v>
      </c>
      <c r="I38" s="232">
        <v>8</v>
      </c>
      <c r="J38" s="185">
        <f t="shared" si="6"/>
        <v>0</v>
      </c>
    </row>
    <row r="39" spans="1:10">
      <c r="A39" s="173" t="s">
        <v>51</v>
      </c>
      <c r="B39" s="211">
        <f>1.2/100*B4</f>
        <v>0</v>
      </c>
      <c r="C39" s="175">
        <v>1.2</v>
      </c>
      <c r="D39" s="209">
        <f t="shared" si="0"/>
        <v>0</v>
      </c>
      <c r="E39" s="175">
        <v>1.5</v>
      </c>
      <c r="F39" s="177">
        <f t="shared" si="4"/>
        <v>0</v>
      </c>
      <c r="G39" s="249">
        <v>1.9</v>
      </c>
      <c r="H39" s="159">
        <f t="shared" si="5"/>
        <v>0</v>
      </c>
      <c r="I39" s="249">
        <v>1.6</v>
      </c>
      <c r="J39" s="162">
        <f t="shared" si="6"/>
        <v>0</v>
      </c>
    </row>
    <row r="40" spans="1:10">
      <c r="A40" s="178" t="s">
        <v>52</v>
      </c>
      <c r="B40" s="254">
        <f>700/100*B4</f>
        <v>0</v>
      </c>
      <c r="C40" s="180">
        <v>340</v>
      </c>
      <c r="D40" s="181">
        <f t="shared" si="0"/>
        <v>0</v>
      </c>
      <c r="E40" s="180">
        <v>440</v>
      </c>
      <c r="F40" s="182">
        <f t="shared" si="4"/>
        <v>0</v>
      </c>
      <c r="G40" s="232">
        <v>700</v>
      </c>
      <c r="H40" s="184">
        <f t="shared" si="5"/>
        <v>0</v>
      </c>
      <c r="I40" s="232">
        <v>700</v>
      </c>
      <c r="J40" s="185">
        <f t="shared" si="6"/>
        <v>0</v>
      </c>
    </row>
    <row r="41" spans="1:10">
      <c r="A41" s="173" t="s">
        <v>53</v>
      </c>
      <c r="B41" s="174">
        <f>174/100*B4</f>
        <v>0</v>
      </c>
      <c r="C41" s="228">
        <v>90</v>
      </c>
      <c r="D41" s="209">
        <f t="shared" si="0"/>
        <v>0</v>
      </c>
      <c r="E41" s="228">
        <v>90</v>
      </c>
      <c r="F41" s="177">
        <f t="shared" si="4"/>
        <v>0</v>
      </c>
      <c r="G41" s="236">
        <v>120</v>
      </c>
      <c r="H41" s="212">
        <f t="shared" si="5"/>
        <v>0</v>
      </c>
      <c r="I41" s="236">
        <v>120</v>
      </c>
      <c r="J41" s="213">
        <f t="shared" si="6"/>
        <v>0</v>
      </c>
    </row>
    <row r="42" spans="1:10">
      <c r="A42" s="178" t="s">
        <v>54</v>
      </c>
      <c r="B42" s="179">
        <f>31.9/100*B4</f>
        <v>0</v>
      </c>
      <c r="C42" s="180">
        <v>17</v>
      </c>
      <c r="D42" s="181">
        <f t="shared" si="0"/>
        <v>0</v>
      </c>
      <c r="E42" s="180">
        <v>22</v>
      </c>
      <c r="F42" s="182">
        <f t="shared" si="4"/>
        <v>0</v>
      </c>
      <c r="G42" s="232">
        <v>34</v>
      </c>
      <c r="H42" s="184">
        <f t="shared" si="5"/>
        <v>0</v>
      </c>
      <c r="I42" s="232">
        <v>34</v>
      </c>
      <c r="J42" s="185">
        <f t="shared" si="6"/>
        <v>0</v>
      </c>
    </row>
    <row r="43" spans="1:10">
      <c r="A43" s="173" t="s">
        <v>55</v>
      </c>
      <c r="B43" s="174">
        <f>12.8/100*B4</f>
        <v>0</v>
      </c>
      <c r="C43" s="175">
        <v>11</v>
      </c>
      <c r="D43" s="209">
        <f t="shared" si="0"/>
        <v>0</v>
      </c>
      <c r="E43" s="175">
        <v>15</v>
      </c>
      <c r="F43" s="177">
        <f t="shared" si="4"/>
        <v>0</v>
      </c>
      <c r="G43" s="233">
        <v>25</v>
      </c>
      <c r="H43" s="159">
        <f t="shared" si="5"/>
        <v>0</v>
      </c>
      <c r="I43" s="233">
        <v>21</v>
      </c>
      <c r="J43" s="162">
        <f t="shared" si="6"/>
        <v>0</v>
      </c>
    </row>
    <row r="44" spans="1:10">
      <c r="A44" s="178" t="s">
        <v>56</v>
      </c>
      <c r="B44" s="179">
        <f>35.3/100*B4</f>
        <v>0</v>
      </c>
      <c r="C44" s="244">
        <v>20</v>
      </c>
      <c r="D44" s="242">
        <f t="shared" si="0"/>
        <v>0</v>
      </c>
      <c r="E44" s="244">
        <v>30</v>
      </c>
      <c r="F44" s="243">
        <f t="shared" si="4"/>
        <v>0</v>
      </c>
      <c r="G44" s="232">
        <v>40</v>
      </c>
      <c r="H44" s="184">
        <f t="shared" si="5"/>
        <v>0</v>
      </c>
      <c r="I44" s="232">
        <v>40</v>
      </c>
      <c r="J44" s="185">
        <f t="shared" si="6"/>
        <v>0</v>
      </c>
    </row>
    <row r="45" spans="1:10">
      <c r="A45" s="173" t="s">
        <v>57</v>
      </c>
      <c r="B45" s="253">
        <f>350/100*B4</f>
        <v>0</v>
      </c>
      <c r="C45" s="245">
        <v>800</v>
      </c>
      <c r="D45" s="222">
        <f>B45/C45</f>
        <v>0</v>
      </c>
      <c r="E45" s="245">
        <v>1000</v>
      </c>
      <c r="F45" s="223">
        <f>B45/E45</f>
        <v>0</v>
      </c>
      <c r="G45" s="233">
        <v>1200</v>
      </c>
      <c r="H45" s="159">
        <f t="shared" si="5"/>
        <v>0</v>
      </c>
      <c r="I45" s="233">
        <v>1200</v>
      </c>
      <c r="J45" s="162">
        <f t="shared" si="6"/>
        <v>0</v>
      </c>
    </row>
    <row r="46" spans="1:10">
      <c r="A46" s="214" t="s">
        <v>58</v>
      </c>
      <c r="B46" s="255">
        <f>556/100*B4</f>
        <v>0</v>
      </c>
      <c r="C46" s="246">
        <v>2000</v>
      </c>
      <c r="D46" s="216">
        <f>B46/C46</f>
        <v>0</v>
      </c>
      <c r="E46" s="246">
        <v>2300</v>
      </c>
      <c r="F46" s="217">
        <f>B46/E46</f>
        <v>0</v>
      </c>
      <c r="G46" s="237">
        <v>2500</v>
      </c>
      <c r="H46" s="160">
        <f t="shared" si="5"/>
        <v>0</v>
      </c>
      <c r="I46" s="237">
        <v>2300</v>
      </c>
      <c r="J46" s="163">
        <f t="shared" si="6"/>
        <v>0</v>
      </c>
    </row>
    <row r="47" spans="1:10" ht="15" thickBot="1">
      <c r="A47" s="224" t="s">
        <v>59</v>
      </c>
      <c r="B47" s="256">
        <f>508/100*B4</f>
        <v>0</v>
      </c>
      <c r="C47" s="247">
        <v>1500</v>
      </c>
      <c r="D47" s="225">
        <f>B47/C47</f>
        <v>0</v>
      </c>
      <c r="E47" s="247">
        <v>1900</v>
      </c>
      <c r="F47" s="226">
        <f>B47/E47</f>
        <v>0</v>
      </c>
      <c r="G47" s="250">
        <v>2300</v>
      </c>
      <c r="H47" s="220">
        <f t="shared" si="5"/>
        <v>0</v>
      </c>
      <c r="I47" s="250">
        <v>2300</v>
      </c>
      <c r="J47" s="221">
        <f t="shared" si="6"/>
        <v>0</v>
      </c>
    </row>
    <row r="48" spans="1:10">
      <c r="A48" s="260" t="s">
        <v>60</v>
      </c>
    </row>
    <row r="49" spans="1:1">
      <c r="A49" t="s">
        <v>61</v>
      </c>
    </row>
    <row r="50" spans="1:1">
      <c r="A50" t="s">
        <v>62</v>
      </c>
    </row>
    <row r="51" spans="1:1">
      <c r="A51" s="262" t="s">
        <v>84</v>
      </c>
    </row>
  </sheetData>
  <sheetProtection algorithmName="SHA-512" hashValue="6nCyDdmqCr5BjNyR/KSnW5EtzjSOi5k+Y6/E95kOqXmppzs0Evoz0Q1ICei9sGndobOV/keP3jJw791hUEkNNg==" saltValue="WN0+f8yxpqu7GapxxXVQTg==" spinCount="100000" sheet="1" objects="1" scenarios="1"/>
  <mergeCells count="4">
    <mergeCell ref="C2:J2"/>
    <mergeCell ref="A3:B3"/>
    <mergeCell ref="A17:B17"/>
    <mergeCell ref="A33:B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M27"/>
  <sheetViews>
    <sheetView showGridLines="0" zoomScale="80" zoomScaleNormal="80" workbookViewId="0">
      <selection activeCell="A3" sqref="A3"/>
    </sheetView>
  </sheetViews>
  <sheetFormatPr defaultColWidth="9.140625" defaultRowHeight="14.45"/>
  <cols>
    <col min="1" max="1" width="20.28515625" customWidth="1"/>
    <col min="2" max="2" width="21.140625" customWidth="1"/>
    <col min="11" max="11" width="10.28515625" customWidth="1"/>
    <col min="12" max="12" width="7.85546875" customWidth="1"/>
  </cols>
  <sheetData>
    <row r="1" spans="1:13" ht="45" customHeight="1">
      <c r="A1" s="372" t="s">
        <v>85</v>
      </c>
      <c r="B1" s="373"/>
      <c r="C1" s="275"/>
      <c r="D1" s="382" t="s">
        <v>86</v>
      </c>
      <c r="E1" s="383"/>
      <c r="F1" s="383"/>
      <c r="G1" s="383"/>
      <c r="H1" s="383"/>
      <c r="I1" s="275"/>
      <c r="J1" s="275"/>
    </row>
    <row r="2" spans="1:13" ht="45" customHeight="1" thickBot="1">
      <c r="A2" s="14">
        <v>0</v>
      </c>
      <c r="D2" s="384"/>
      <c r="E2" s="384"/>
      <c r="F2" s="384"/>
      <c r="G2" s="384"/>
      <c r="H2" s="384"/>
    </row>
    <row r="3" spans="1:13">
      <c r="A3" s="316"/>
      <c r="B3" s="317"/>
      <c r="C3" s="317"/>
      <c r="D3" s="317"/>
      <c r="E3" s="317"/>
      <c r="F3" s="317"/>
      <c r="G3" s="317"/>
      <c r="H3" s="317"/>
      <c r="I3" s="317"/>
      <c r="J3" s="317"/>
      <c r="K3" s="317"/>
      <c r="L3" s="317"/>
      <c r="M3" s="317"/>
    </row>
    <row r="4" spans="1:13" ht="15" thickBot="1">
      <c r="A4" s="278"/>
      <c r="M4" s="318"/>
    </row>
    <row r="5" spans="1:13">
      <c r="A5" s="374" t="s">
        <v>87</v>
      </c>
      <c r="B5" s="377" t="s">
        <v>88</v>
      </c>
      <c r="C5" s="377"/>
      <c r="D5" s="377"/>
      <c r="E5" s="377"/>
      <c r="F5" s="377"/>
      <c r="G5" s="377"/>
      <c r="H5" s="377"/>
      <c r="I5" s="377"/>
      <c r="J5" s="377"/>
      <c r="K5" s="377"/>
      <c r="L5" s="319"/>
      <c r="M5" s="9"/>
    </row>
    <row r="6" spans="1:13">
      <c r="A6" s="375"/>
      <c r="B6" s="279"/>
      <c r="C6" s="280" t="s">
        <v>89</v>
      </c>
      <c r="D6" s="280" t="s">
        <v>90</v>
      </c>
      <c r="E6" s="280" t="s">
        <v>91</v>
      </c>
      <c r="F6" s="280" t="s">
        <v>92</v>
      </c>
      <c r="G6" s="280" t="s">
        <v>93</v>
      </c>
      <c r="H6" s="280" t="s">
        <v>94</v>
      </c>
      <c r="I6" s="280" t="s">
        <v>95</v>
      </c>
      <c r="J6" s="280" t="s">
        <v>96</v>
      </c>
      <c r="K6" s="280" t="s">
        <v>97</v>
      </c>
      <c r="L6" s="315" t="s">
        <v>98</v>
      </c>
      <c r="M6" s="9"/>
    </row>
    <row r="7" spans="1:13">
      <c r="A7" s="375"/>
      <c r="B7" s="282" t="s">
        <v>99</v>
      </c>
      <c r="C7" s="283">
        <f>100*A2/13.5*0.9</f>
        <v>0</v>
      </c>
      <c r="D7" s="283">
        <f>100*A2/13.5*0.8</f>
        <v>0</v>
      </c>
      <c r="E7" s="283">
        <f>100*A2/13.5*0.7</f>
        <v>0</v>
      </c>
      <c r="F7" s="283">
        <f>100*A2/13.5*0.6</f>
        <v>0</v>
      </c>
      <c r="G7" s="283">
        <f>100*A2/13.5*0.5</f>
        <v>0</v>
      </c>
      <c r="H7" s="283">
        <f>100*A2/13.5*0.4</f>
        <v>0</v>
      </c>
      <c r="I7" s="283">
        <f>100*A2/13.5*0.3</f>
        <v>0</v>
      </c>
      <c r="J7" s="283">
        <f>100*A2/13.5*0.2</f>
        <v>0</v>
      </c>
      <c r="K7" s="283">
        <f>100*A2/13.5*0.1</f>
        <v>0</v>
      </c>
      <c r="L7" s="283">
        <f>100*A2/13.5*0</f>
        <v>0</v>
      </c>
      <c r="M7" s="9"/>
    </row>
    <row r="8" spans="1:13">
      <c r="A8" s="375"/>
      <c r="B8" s="285" t="s">
        <v>100</v>
      </c>
      <c r="C8" s="286">
        <f>100*A2/28*0.1</f>
        <v>0</v>
      </c>
      <c r="D8" s="286">
        <f>100*A2/28*0.2</f>
        <v>0</v>
      </c>
      <c r="E8" s="286">
        <f>100*A2/28*0.3</f>
        <v>0</v>
      </c>
      <c r="F8" s="286">
        <f>100*A2/28*0.4</f>
        <v>0</v>
      </c>
      <c r="G8" s="286">
        <f>100*A2/28*0.5</f>
        <v>0</v>
      </c>
      <c r="H8" s="286">
        <f>100*A2/28*0.6</f>
        <v>0</v>
      </c>
      <c r="I8" s="286">
        <f>100*A2/25*0.7</f>
        <v>0</v>
      </c>
      <c r="J8" s="286">
        <f>100*A2/25*0.8</f>
        <v>0</v>
      </c>
      <c r="K8" s="286">
        <f>100*A2/25*0.9</f>
        <v>0</v>
      </c>
      <c r="L8" s="286">
        <f>100*A2/25*1</f>
        <v>0</v>
      </c>
      <c r="M8" s="9"/>
    </row>
    <row r="9" spans="1:13" ht="15" thickBot="1">
      <c r="A9" s="376"/>
      <c r="B9" s="288" t="s">
        <v>101</v>
      </c>
      <c r="C9" s="289">
        <f t="shared" ref="C9:J9" si="0">(C7*473/100)+(C8*377/100)</f>
        <v>0</v>
      </c>
      <c r="D9" s="289">
        <f t="shared" si="0"/>
        <v>0</v>
      </c>
      <c r="E9" s="289">
        <f t="shared" si="0"/>
        <v>0</v>
      </c>
      <c r="F9" s="289">
        <f t="shared" si="0"/>
        <v>0</v>
      </c>
      <c r="G9" s="289">
        <f t="shared" si="0"/>
        <v>0</v>
      </c>
      <c r="H9" s="289">
        <f t="shared" si="0"/>
        <v>0</v>
      </c>
      <c r="I9" s="314">
        <f t="shared" si="0"/>
        <v>0</v>
      </c>
      <c r="J9" s="314">
        <f t="shared" si="0"/>
        <v>0</v>
      </c>
      <c r="K9" s="314">
        <f>(K8*473/100)+(K7*377/100)</f>
        <v>0</v>
      </c>
      <c r="L9" s="314">
        <f>(L8*473/100)+(L7*377/100)</f>
        <v>0</v>
      </c>
      <c r="M9" s="9"/>
    </row>
    <row r="10" spans="1:13">
      <c r="A10" s="278"/>
      <c r="B10" s="291"/>
      <c r="C10" s="292"/>
      <c r="D10" s="292"/>
      <c r="E10" s="292"/>
      <c r="F10" s="292"/>
      <c r="M10" s="9"/>
    </row>
    <row r="11" spans="1:13" ht="15" thickBot="1">
      <c r="A11" s="278"/>
      <c r="M11" s="9"/>
    </row>
    <row r="12" spans="1:13">
      <c r="A12" s="378" t="s">
        <v>102</v>
      </c>
      <c r="B12" s="381" t="s">
        <v>103</v>
      </c>
      <c r="C12" s="370"/>
      <c r="D12" s="370"/>
      <c r="E12" s="370"/>
      <c r="F12" s="370"/>
      <c r="G12" s="370"/>
      <c r="H12" s="371"/>
      <c r="M12" s="9"/>
    </row>
    <row r="13" spans="1:13">
      <c r="A13" s="379"/>
      <c r="B13" s="279"/>
      <c r="C13" s="280" t="s">
        <v>89</v>
      </c>
      <c r="D13" s="280" t="s">
        <v>90</v>
      </c>
      <c r="E13" s="280" t="s">
        <v>91</v>
      </c>
      <c r="F13" s="280" t="s">
        <v>92</v>
      </c>
      <c r="G13" s="280" t="s">
        <v>93</v>
      </c>
      <c r="H13" s="281" t="s">
        <v>94</v>
      </c>
      <c r="M13" s="9"/>
    </row>
    <row r="14" spans="1:13">
      <c r="A14" s="379"/>
      <c r="B14" s="282" t="s">
        <v>99</v>
      </c>
      <c r="C14" s="283">
        <f>100*A2/13.5*0.833</f>
        <v>0</v>
      </c>
      <c r="D14" s="283">
        <f>100*A2/13.5*0.667</f>
        <v>0</v>
      </c>
      <c r="E14" s="283">
        <f>100*A2/13.5*0.5</f>
        <v>0</v>
      </c>
      <c r="F14" s="283">
        <f>100*A2/13.5*0.333</f>
        <v>0</v>
      </c>
      <c r="G14" s="283">
        <f>100*A2/13.5*0.167</f>
        <v>0</v>
      </c>
      <c r="H14" s="284">
        <f>100*A2/13.5*0</f>
        <v>0</v>
      </c>
      <c r="M14" s="9"/>
    </row>
    <row r="15" spans="1:13">
      <c r="A15" s="379"/>
      <c r="B15" s="285" t="s">
        <v>100</v>
      </c>
      <c r="C15" s="286">
        <f>100*A2/28*0.167</f>
        <v>0</v>
      </c>
      <c r="D15" s="286">
        <f>100*A2/28*0.333</f>
        <v>0</v>
      </c>
      <c r="E15" s="286">
        <f>100*A2/28*0.5</f>
        <v>0</v>
      </c>
      <c r="F15" s="286">
        <f>100*A2/28*0.667</f>
        <v>0</v>
      </c>
      <c r="G15" s="286">
        <f>100*A2/28*0.833</f>
        <v>0</v>
      </c>
      <c r="H15" s="287">
        <f>100*A2/28*1</f>
        <v>0</v>
      </c>
      <c r="M15" s="9"/>
    </row>
    <row r="16" spans="1:13" ht="15" thickBot="1">
      <c r="A16" s="380"/>
      <c r="B16" s="293" t="s">
        <v>101</v>
      </c>
      <c r="C16" s="289">
        <f t="shared" ref="C16:H16" si="1">(C14*473/100)+(C15*377/100)</f>
        <v>0</v>
      </c>
      <c r="D16" s="289">
        <f t="shared" si="1"/>
        <v>0</v>
      </c>
      <c r="E16" s="289">
        <f t="shared" si="1"/>
        <v>0</v>
      </c>
      <c r="F16" s="289">
        <f t="shared" si="1"/>
        <v>0</v>
      </c>
      <c r="G16" s="289">
        <f t="shared" si="1"/>
        <v>0</v>
      </c>
      <c r="H16" s="290">
        <f t="shared" si="1"/>
        <v>0</v>
      </c>
      <c r="M16" s="9"/>
    </row>
    <row r="17" spans="1:13">
      <c r="A17" s="278"/>
      <c r="B17" s="291"/>
      <c r="C17" s="294"/>
      <c r="D17" s="294"/>
      <c r="E17" s="294"/>
      <c r="F17" s="294"/>
      <c r="G17" s="294"/>
      <c r="H17" s="294"/>
      <c r="M17" s="9"/>
    </row>
    <row r="18" spans="1:13" ht="15" thickBot="1">
      <c r="A18" s="278"/>
      <c r="M18" s="9"/>
    </row>
    <row r="19" spans="1:13">
      <c r="A19" s="367" t="s">
        <v>104</v>
      </c>
      <c r="B19" s="370" t="s">
        <v>105</v>
      </c>
      <c r="C19" s="370"/>
      <c r="D19" s="370"/>
      <c r="E19" s="370"/>
      <c r="F19" s="371"/>
      <c r="M19" s="9"/>
    </row>
    <row r="20" spans="1:13">
      <c r="A20" s="368"/>
      <c r="B20" s="295"/>
      <c r="C20" s="280" t="s">
        <v>89</v>
      </c>
      <c r="D20" s="280" t="s">
        <v>90</v>
      </c>
      <c r="E20" s="280" t="s">
        <v>91</v>
      </c>
      <c r="F20" s="281" t="s">
        <v>92</v>
      </c>
      <c r="M20" s="9"/>
    </row>
    <row r="21" spans="1:13">
      <c r="A21" s="368"/>
      <c r="B21" s="282" t="s">
        <v>99</v>
      </c>
      <c r="C21" s="283">
        <f>100*A2/13.5*0.75</f>
        <v>0</v>
      </c>
      <c r="D21" s="283">
        <f>100*A2/13.5*0.5</f>
        <v>0</v>
      </c>
      <c r="E21" s="283">
        <f>100*A2/13.5*0.25</f>
        <v>0</v>
      </c>
      <c r="F21" s="284">
        <f>100/13.5*A2*0</f>
        <v>0</v>
      </c>
      <c r="M21" s="9"/>
    </row>
    <row r="22" spans="1:13">
      <c r="A22" s="368"/>
      <c r="B22" s="285" t="s">
        <v>100</v>
      </c>
      <c r="C22" s="286">
        <f>100*A2/28*0.25</f>
        <v>0</v>
      </c>
      <c r="D22" s="286">
        <f>100*A2/28*0.5</f>
        <v>0</v>
      </c>
      <c r="E22" s="286">
        <f>100*A2/28*0.75</f>
        <v>0</v>
      </c>
      <c r="F22" s="287">
        <f>100*A2/28*1</f>
        <v>0</v>
      </c>
      <c r="M22" s="9"/>
    </row>
    <row r="23" spans="1:13" ht="15" thickBot="1">
      <c r="A23" s="369"/>
      <c r="B23" s="293" t="s">
        <v>101</v>
      </c>
      <c r="C23" s="289">
        <f>(C21*473/100)+(C22*377/100)</f>
        <v>0</v>
      </c>
      <c r="D23" s="289">
        <f>(D21*473/100)+(D22*377/100)</f>
        <v>0</v>
      </c>
      <c r="E23" s="289">
        <f>(E21*473/100)+(E22*377/100)</f>
        <v>0</v>
      </c>
      <c r="F23" s="290">
        <f>(F21*473/100)+(F22*377/100)</f>
        <v>0</v>
      </c>
      <c r="M23" s="9"/>
    </row>
    <row r="24" spans="1:13">
      <c r="A24" s="278"/>
      <c r="M24" s="9"/>
    </row>
    <row r="25" spans="1:13" ht="15" thickBot="1">
      <c r="A25" s="265"/>
      <c r="B25" s="265"/>
      <c r="C25" s="265"/>
      <c r="D25" s="265"/>
      <c r="E25" s="265"/>
      <c r="F25" s="265"/>
      <c r="G25" s="265"/>
      <c r="H25" s="265"/>
      <c r="I25" s="265"/>
      <c r="J25" s="265"/>
      <c r="K25" s="265"/>
      <c r="L25" s="265"/>
      <c r="M25" s="320"/>
    </row>
    <row r="26" spans="1:13">
      <c r="A26" s="339" t="s">
        <v>106</v>
      </c>
    </row>
    <row r="27" spans="1:13">
      <c r="A27" s="297" t="s">
        <v>1</v>
      </c>
    </row>
  </sheetData>
  <sheetProtection algorithmName="SHA-512" hashValue="WvDP6jGk532iwEEA947XXweyk683KlNPUmO64zX/5Bc3oG6Pgx5pabQoSzFsyGKm81AMFuOqwaZtR2IsKi7vng==" saltValue="V3Qwzt5QEgWhR1ZXOMHJkA==" spinCount="100000" sheet="1" objects="1" scenarios="1"/>
  <mergeCells count="8">
    <mergeCell ref="A19:A23"/>
    <mergeCell ref="B19:F19"/>
    <mergeCell ref="A1:B1"/>
    <mergeCell ref="A5:A9"/>
    <mergeCell ref="B5:K5"/>
    <mergeCell ref="A12:A16"/>
    <mergeCell ref="B12:H12"/>
    <mergeCell ref="D1:H2"/>
  </mergeCells>
  <phoneticPr fontId="53"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499984740745262"/>
  </sheetPr>
  <dimension ref="A1:L33"/>
  <sheetViews>
    <sheetView showGridLines="0" zoomScale="80" zoomScaleNormal="80" workbookViewId="0">
      <selection sqref="A1:B1"/>
    </sheetView>
  </sheetViews>
  <sheetFormatPr defaultColWidth="9.140625" defaultRowHeight="14.45"/>
  <cols>
    <col min="1" max="1" width="20.28515625" customWidth="1"/>
    <col min="2" max="2" width="21.42578125" customWidth="1"/>
    <col min="13" max="13" width="4.28515625" customWidth="1"/>
  </cols>
  <sheetData>
    <row r="1" spans="1:12" ht="45" customHeight="1">
      <c r="A1" s="372" t="s">
        <v>85</v>
      </c>
      <c r="B1" s="373"/>
      <c r="C1" s="275"/>
      <c r="D1" s="382" t="s">
        <v>107</v>
      </c>
      <c r="E1" s="382"/>
      <c r="F1" s="382"/>
      <c r="G1" s="382"/>
      <c r="H1" s="382"/>
      <c r="I1" s="382"/>
      <c r="J1" s="382"/>
      <c r="K1" s="275"/>
      <c r="L1" s="276"/>
    </row>
    <row r="2" spans="1:12" ht="45" customHeight="1" thickBot="1">
      <c r="A2" s="1">
        <v>0</v>
      </c>
      <c r="D2" s="387"/>
      <c r="E2" s="387"/>
      <c r="F2" s="387"/>
      <c r="G2" s="387"/>
      <c r="H2" s="387"/>
      <c r="I2" s="387"/>
      <c r="J2" s="387"/>
      <c r="L2" s="277"/>
    </row>
    <row r="3" spans="1:12">
      <c r="A3" s="278"/>
      <c r="L3" s="277"/>
    </row>
    <row r="4" spans="1:12" ht="15" thickBot="1">
      <c r="A4" s="278"/>
      <c r="L4" s="277"/>
    </row>
    <row r="5" spans="1:12">
      <c r="A5" s="386" t="s">
        <v>108</v>
      </c>
      <c r="B5" s="370" t="s">
        <v>88</v>
      </c>
      <c r="C5" s="370"/>
      <c r="D5" s="370"/>
      <c r="E5" s="370"/>
      <c r="F5" s="370"/>
      <c r="G5" s="370"/>
      <c r="H5" s="370"/>
      <c r="I5" s="370"/>
      <c r="J5" s="370"/>
      <c r="K5" s="370"/>
      <c r="L5" s="371"/>
    </row>
    <row r="6" spans="1:12">
      <c r="A6" s="375"/>
      <c r="B6" s="295"/>
      <c r="C6" s="280" t="s">
        <v>89</v>
      </c>
      <c r="D6" s="280" t="s">
        <v>90</v>
      </c>
      <c r="E6" s="280" t="s">
        <v>91</v>
      </c>
      <c r="F6" s="280" t="s">
        <v>92</v>
      </c>
      <c r="G6" s="280" t="s">
        <v>93</v>
      </c>
      <c r="H6" s="280" t="s">
        <v>94</v>
      </c>
      <c r="I6" s="280" t="s">
        <v>95</v>
      </c>
      <c r="J6" s="280" t="s">
        <v>96</v>
      </c>
      <c r="K6" s="280" t="s">
        <v>97</v>
      </c>
      <c r="L6" s="281" t="s">
        <v>98</v>
      </c>
    </row>
    <row r="7" spans="1:12">
      <c r="A7" s="375"/>
      <c r="B7" s="305" t="s">
        <v>109</v>
      </c>
      <c r="C7" s="306">
        <f>100*A2/15*0.9</f>
        <v>0</v>
      </c>
      <c r="D7" s="306">
        <f>100*A2/15*0.8</f>
        <v>0</v>
      </c>
      <c r="E7" s="306">
        <f>100*A2/15*0.7</f>
        <v>0</v>
      </c>
      <c r="F7" s="306">
        <f>100*A2/15*0.6</f>
        <v>0</v>
      </c>
      <c r="G7" s="306">
        <f>100*A2/15*0.5</f>
        <v>0</v>
      </c>
      <c r="H7" s="306">
        <f>100*A2/15*0.4</f>
        <v>0</v>
      </c>
      <c r="I7" s="306">
        <f>100*A2/15*0.3</f>
        <v>0</v>
      </c>
      <c r="J7" s="306">
        <f>100*A2/15*0.2</f>
        <v>0</v>
      </c>
      <c r="K7" s="306">
        <f>100*A2/15*0.1</f>
        <v>0</v>
      </c>
      <c r="L7" s="307">
        <f>100*A2/15*0</f>
        <v>0</v>
      </c>
    </row>
    <row r="8" spans="1:12">
      <c r="A8" s="375"/>
      <c r="B8" s="308" t="s">
        <v>99</v>
      </c>
      <c r="C8" s="309">
        <f>100*A2/13.5*0.1</f>
        <v>0</v>
      </c>
      <c r="D8" s="309">
        <f>100*A2/13.5*0.2</f>
        <v>0</v>
      </c>
      <c r="E8" s="309">
        <f>100*A2/13.5*0.3</f>
        <v>0</v>
      </c>
      <c r="F8" s="309">
        <f>100*A2/13.5*0.4</f>
        <v>0</v>
      </c>
      <c r="G8" s="309">
        <f>100*A2/13.5*0.5</f>
        <v>0</v>
      </c>
      <c r="H8" s="309">
        <f>100*A2/13.5*0.6</f>
        <v>0</v>
      </c>
      <c r="I8" s="309">
        <f>100*A2/13.5*0.7</f>
        <v>0</v>
      </c>
      <c r="J8" s="309">
        <f>100*A2/13.5*0.8</f>
        <v>0</v>
      </c>
      <c r="K8" s="309">
        <f>100*A2/13.5*0.9</f>
        <v>0</v>
      </c>
      <c r="L8" s="310">
        <f>100*A2/13.5*1</f>
        <v>0</v>
      </c>
    </row>
    <row r="9" spans="1:12">
      <c r="A9" s="375"/>
      <c r="B9" s="303" t="s">
        <v>101</v>
      </c>
      <c r="C9" s="304">
        <f t="shared" ref="C9:L9" si="0">(C7*480/100)+(C8*473/100)</f>
        <v>0</v>
      </c>
      <c r="D9" s="304">
        <f t="shared" si="0"/>
        <v>0</v>
      </c>
      <c r="E9" s="304">
        <f t="shared" si="0"/>
        <v>0</v>
      </c>
      <c r="F9" s="304">
        <f t="shared" si="0"/>
        <v>0</v>
      </c>
      <c r="G9" s="304">
        <f t="shared" si="0"/>
        <v>0</v>
      </c>
      <c r="H9" s="304">
        <f t="shared" si="0"/>
        <v>0</v>
      </c>
      <c r="I9" s="304">
        <f t="shared" si="0"/>
        <v>0</v>
      </c>
      <c r="J9" s="304">
        <f t="shared" si="0"/>
        <v>0</v>
      </c>
      <c r="K9" s="304">
        <f t="shared" si="0"/>
        <v>0</v>
      </c>
      <c r="L9" s="304">
        <f t="shared" si="0"/>
        <v>0</v>
      </c>
    </row>
    <row r="10" spans="1:12" ht="15" thickBot="1">
      <c r="A10" s="376"/>
      <c r="B10" s="293" t="s">
        <v>26</v>
      </c>
      <c r="C10" s="301">
        <f>C8*5.3/100</f>
        <v>0</v>
      </c>
      <c r="D10" s="301">
        <f t="shared" ref="D10:L10" si="1">D8*5.3/100</f>
        <v>0</v>
      </c>
      <c r="E10" s="301">
        <f t="shared" si="1"/>
        <v>0</v>
      </c>
      <c r="F10" s="301">
        <f t="shared" si="1"/>
        <v>0</v>
      </c>
      <c r="G10" s="301">
        <f t="shared" si="1"/>
        <v>0</v>
      </c>
      <c r="H10" s="301">
        <f t="shared" si="1"/>
        <v>0</v>
      </c>
      <c r="I10" s="301">
        <f t="shared" si="1"/>
        <v>0</v>
      </c>
      <c r="J10" s="301">
        <f t="shared" si="1"/>
        <v>0</v>
      </c>
      <c r="K10" s="301">
        <f t="shared" si="1"/>
        <v>0</v>
      </c>
      <c r="L10" s="302">
        <f t="shared" si="1"/>
        <v>0</v>
      </c>
    </row>
    <row r="11" spans="1:12">
      <c r="A11" s="278"/>
      <c r="B11" s="291"/>
      <c r="C11" s="292"/>
      <c r="D11" s="292"/>
      <c r="E11" s="292"/>
      <c r="F11" s="292"/>
      <c r="L11" s="277"/>
    </row>
    <row r="12" spans="1:12" ht="15" thickBot="1">
      <c r="A12" s="278"/>
      <c r="L12" s="277"/>
    </row>
    <row r="13" spans="1:12">
      <c r="A13" s="378" t="s">
        <v>110</v>
      </c>
      <c r="B13" s="370" t="s">
        <v>111</v>
      </c>
      <c r="C13" s="370"/>
      <c r="D13" s="370"/>
      <c r="E13" s="370"/>
      <c r="F13" s="370"/>
      <c r="G13" s="370"/>
      <c r="H13" s="370"/>
      <c r="I13" s="371"/>
      <c r="L13" s="277"/>
    </row>
    <row r="14" spans="1:12">
      <c r="A14" s="379"/>
      <c r="B14" s="295"/>
      <c r="C14" s="280" t="s">
        <v>89</v>
      </c>
      <c r="D14" s="280" t="s">
        <v>90</v>
      </c>
      <c r="E14" s="280" t="s">
        <v>91</v>
      </c>
      <c r="F14" s="280" t="s">
        <v>92</v>
      </c>
      <c r="G14" s="280" t="s">
        <v>93</v>
      </c>
      <c r="H14" s="280" t="s">
        <v>94</v>
      </c>
      <c r="I14" s="281" t="s">
        <v>95</v>
      </c>
      <c r="L14" s="277"/>
    </row>
    <row r="15" spans="1:12">
      <c r="A15" s="379"/>
      <c r="B15" s="305" t="s">
        <v>109</v>
      </c>
      <c r="C15" s="306">
        <f>100*A2/15*0.857</f>
        <v>0</v>
      </c>
      <c r="D15" s="306">
        <f>100*A2/15*0.714</f>
        <v>0</v>
      </c>
      <c r="E15" s="306">
        <f>100*A2/15*0.571</f>
        <v>0</v>
      </c>
      <c r="F15" s="306">
        <f>100*A2/15*0.429</f>
        <v>0</v>
      </c>
      <c r="G15" s="306">
        <f>100*A2/15*0.286</f>
        <v>0</v>
      </c>
      <c r="H15" s="306">
        <f>100*A2/15*0.143</f>
        <v>0</v>
      </c>
      <c r="I15" s="307">
        <f>100*A2/15*0</f>
        <v>0</v>
      </c>
      <c r="L15" s="277"/>
    </row>
    <row r="16" spans="1:12">
      <c r="A16" s="379"/>
      <c r="B16" s="308" t="s">
        <v>99</v>
      </c>
      <c r="C16" s="309">
        <f>100*A2/13.5*0.143</f>
        <v>0</v>
      </c>
      <c r="D16" s="309">
        <f>100*A2/13.5*0.286</f>
        <v>0</v>
      </c>
      <c r="E16" s="309">
        <f>100*A2/13.5*0.429</f>
        <v>0</v>
      </c>
      <c r="F16" s="309">
        <f>100*A2/13.5*0.571</f>
        <v>0</v>
      </c>
      <c r="G16" s="309">
        <f>100*A2/13.5*0.714</f>
        <v>0</v>
      </c>
      <c r="H16" s="309">
        <f>100*A2/13.5*0.857</f>
        <v>0</v>
      </c>
      <c r="I16" s="310">
        <f>100*A2/13.5*1</f>
        <v>0</v>
      </c>
      <c r="L16" s="277"/>
    </row>
    <row r="17" spans="1:12">
      <c r="A17" s="379"/>
      <c r="B17" s="303" t="s">
        <v>101</v>
      </c>
      <c r="C17" s="304">
        <f t="shared" ref="C17:I17" si="2">(C15*480/100)+(C16*473/100)</f>
        <v>0</v>
      </c>
      <c r="D17" s="304">
        <f t="shared" si="2"/>
        <v>0</v>
      </c>
      <c r="E17" s="304">
        <f t="shared" si="2"/>
        <v>0</v>
      </c>
      <c r="F17" s="304">
        <f t="shared" si="2"/>
        <v>0</v>
      </c>
      <c r="G17" s="304">
        <f t="shared" si="2"/>
        <v>0</v>
      </c>
      <c r="H17" s="304">
        <f t="shared" si="2"/>
        <v>0</v>
      </c>
      <c r="I17" s="304">
        <f t="shared" si="2"/>
        <v>0</v>
      </c>
      <c r="L17" s="277"/>
    </row>
    <row r="18" spans="1:12" ht="15" thickBot="1">
      <c r="A18" s="380"/>
      <c r="B18" s="293" t="s">
        <v>26</v>
      </c>
      <c r="C18" s="301">
        <f t="shared" ref="C18:I18" si="3">C16*5.3/100</f>
        <v>0</v>
      </c>
      <c r="D18" s="301">
        <f t="shared" si="3"/>
        <v>0</v>
      </c>
      <c r="E18" s="301">
        <f t="shared" si="3"/>
        <v>0</v>
      </c>
      <c r="F18" s="301">
        <f t="shared" si="3"/>
        <v>0</v>
      </c>
      <c r="G18" s="301">
        <f t="shared" si="3"/>
        <v>0</v>
      </c>
      <c r="H18" s="301">
        <f t="shared" si="3"/>
        <v>0</v>
      </c>
      <c r="I18" s="302">
        <f t="shared" si="3"/>
        <v>0</v>
      </c>
      <c r="J18" s="291" t="s">
        <v>64</v>
      </c>
      <c r="L18" s="277"/>
    </row>
    <row r="19" spans="1:12">
      <c r="A19" s="278"/>
      <c r="B19" s="291"/>
      <c r="C19" s="294"/>
      <c r="D19" s="294"/>
      <c r="E19" s="294"/>
      <c r="F19" s="294"/>
      <c r="G19" s="294"/>
      <c r="H19" s="294"/>
      <c r="I19" s="294"/>
      <c r="L19" s="277"/>
    </row>
    <row r="20" spans="1:12" ht="15" thickBot="1">
      <c r="A20" s="278"/>
      <c r="L20" s="277"/>
    </row>
    <row r="21" spans="1:12">
      <c r="A21" s="367" t="s">
        <v>104</v>
      </c>
      <c r="B21" s="370" t="s">
        <v>105</v>
      </c>
      <c r="C21" s="370"/>
      <c r="D21" s="370"/>
      <c r="E21" s="370"/>
      <c r="F21" s="371"/>
      <c r="L21" s="277"/>
    </row>
    <row r="22" spans="1:12">
      <c r="A22" s="368"/>
      <c r="B22" s="295"/>
      <c r="C22" s="280" t="s">
        <v>89</v>
      </c>
      <c r="D22" s="280" t="s">
        <v>90</v>
      </c>
      <c r="E22" s="280" t="s">
        <v>91</v>
      </c>
      <c r="F22" s="281" t="s">
        <v>92</v>
      </c>
      <c r="L22" s="277"/>
    </row>
    <row r="23" spans="1:12">
      <c r="A23" s="368"/>
      <c r="B23" s="305" t="s">
        <v>109</v>
      </c>
      <c r="C23" s="306">
        <f>100*A2/15*0.75</f>
        <v>0</v>
      </c>
      <c r="D23" s="306">
        <f>100*A2/15*0.5</f>
        <v>0</v>
      </c>
      <c r="E23" s="306">
        <f>100*A2/15*0.25</f>
        <v>0</v>
      </c>
      <c r="F23" s="307">
        <f>100/15*A2*0</f>
        <v>0</v>
      </c>
      <c r="L23" s="277"/>
    </row>
    <row r="24" spans="1:12">
      <c r="A24" s="368"/>
      <c r="B24" s="308" t="s">
        <v>99</v>
      </c>
      <c r="C24" s="309">
        <f>100*A2/13.5*0.25</f>
        <v>0</v>
      </c>
      <c r="D24" s="309">
        <f>100*A2/13.5*0.5</f>
        <v>0</v>
      </c>
      <c r="E24" s="309">
        <f>100*A2/13.5*0.75</f>
        <v>0</v>
      </c>
      <c r="F24" s="310">
        <f>100*A2/13.5*1</f>
        <v>0</v>
      </c>
      <c r="L24" s="277"/>
    </row>
    <row r="25" spans="1:12">
      <c r="A25" s="368"/>
      <c r="B25" s="303" t="s">
        <v>101</v>
      </c>
      <c r="C25" s="304">
        <f>(C23*480/100)+(C24*473/100)</f>
        <v>0</v>
      </c>
      <c r="D25" s="304">
        <f>(D23*480/100)+(D24*473/100)</f>
        <v>0</v>
      </c>
      <c r="E25" s="304">
        <f>(E23*480/100)+(E24*473/100)</f>
        <v>0</v>
      </c>
      <c r="F25" s="304">
        <f>(F23*480/100)+(F24*473/100)</f>
        <v>0</v>
      </c>
      <c r="L25" s="277"/>
    </row>
    <row r="26" spans="1:12" ht="15" thickBot="1">
      <c r="A26" s="369"/>
      <c r="B26" s="293" t="s">
        <v>26</v>
      </c>
      <c r="C26" s="301">
        <f>C24*5.3/100</f>
        <v>0</v>
      </c>
      <c r="D26" s="301">
        <f>D24*5.3/100</f>
        <v>0</v>
      </c>
      <c r="E26" s="301">
        <f>E24*5.3/100</f>
        <v>0</v>
      </c>
      <c r="F26" s="302">
        <f>F24*5.3/100</f>
        <v>0</v>
      </c>
      <c r="L26" s="277"/>
    </row>
    <row r="27" spans="1:12">
      <c r="A27" s="278"/>
      <c r="L27" s="277"/>
    </row>
    <row r="28" spans="1:12" ht="15" thickBot="1">
      <c r="A28" s="296"/>
      <c r="B28" s="265"/>
      <c r="C28" s="265"/>
      <c r="D28" s="265"/>
      <c r="E28" s="265"/>
      <c r="F28" s="265"/>
      <c r="G28" s="265"/>
      <c r="H28" s="265"/>
      <c r="I28" s="265"/>
      <c r="J28" s="265"/>
      <c r="K28" s="265"/>
      <c r="L28" s="266"/>
    </row>
    <row r="30" spans="1:12">
      <c r="A30" s="340" t="s">
        <v>112</v>
      </c>
    </row>
    <row r="31" spans="1:12">
      <c r="B31" s="385"/>
      <c r="C31" s="385"/>
      <c r="D31" s="385"/>
      <c r="E31" s="385"/>
      <c r="F31" s="385"/>
      <c r="G31" s="385"/>
      <c r="H31" s="385"/>
    </row>
    <row r="32" spans="1:12">
      <c r="A32" s="262" t="s">
        <v>63</v>
      </c>
    </row>
    <row r="33" spans="1:1">
      <c r="A33" s="297" t="s">
        <v>1</v>
      </c>
    </row>
  </sheetData>
  <sheetProtection algorithmName="SHA-512" hashValue="wZQ4L94NYOOddH/ZKxa+1pKcnWs2Ai9sLgUIyZQ39qsWxK/EX+0KwKzcnNRz/eeRUOSa1HTbtB8YBJBY700ZuQ==" saltValue="vQp1uUwnUH9vgmr96V8Zdg==" spinCount="100000" sheet="1" objects="1" scenarios="1"/>
  <mergeCells count="9">
    <mergeCell ref="A21:A26"/>
    <mergeCell ref="B21:F21"/>
    <mergeCell ref="B31:H31"/>
    <mergeCell ref="A1:B1"/>
    <mergeCell ref="A5:A10"/>
    <mergeCell ref="B5:L5"/>
    <mergeCell ref="A13:A18"/>
    <mergeCell ref="B13:I13"/>
    <mergeCell ref="D1:J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C7D7-BDBE-4A33-9F27-61794F611237}">
  <sheetPr>
    <tabColor theme="6" tint="-0.249977111117893"/>
  </sheetPr>
  <dimension ref="A1:L33"/>
  <sheetViews>
    <sheetView showGridLines="0" zoomScale="80" zoomScaleNormal="80" workbookViewId="0">
      <selection sqref="A1:B1"/>
    </sheetView>
  </sheetViews>
  <sheetFormatPr defaultColWidth="9.140625" defaultRowHeight="14.45"/>
  <cols>
    <col min="1" max="1" width="20.28515625" customWidth="1"/>
    <col min="2" max="2" width="21.42578125" customWidth="1"/>
    <col min="13" max="13" width="4.28515625" customWidth="1"/>
  </cols>
  <sheetData>
    <row r="1" spans="1:12" ht="45" customHeight="1">
      <c r="A1" s="372" t="s">
        <v>85</v>
      </c>
      <c r="B1" s="373"/>
      <c r="C1" s="275"/>
      <c r="D1" s="382" t="s">
        <v>113</v>
      </c>
      <c r="E1" s="382"/>
      <c r="F1" s="382"/>
      <c r="G1" s="382"/>
      <c r="H1" s="382"/>
      <c r="I1" s="382"/>
      <c r="J1" s="298"/>
      <c r="K1" s="275"/>
      <c r="L1" s="276"/>
    </row>
    <row r="2" spans="1:12" ht="45" customHeight="1" thickBot="1">
      <c r="A2" s="1">
        <v>0</v>
      </c>
      <c r="D2" s="387"/>
      <c r="E2" s="387"/>
      <c r="F2" s="387"/>
      <c r="G2" s="387"/>
      <c r="H2" s="387"/>
      <c r="I2" s="387"/>
      <c r="J2" s="299"/>
      <c r="L2" s="277"/>
    </row>
    <row r="3" spans="1:12">
      <c r="A3" s="278"/>
      <c r="L3" s="277"/>
    </row>
    <row r="4" spans="1:12" ht="15" thickBot="1">
      <c r="A4" s="278"/>
      <c r="L4" s="277"/>
    </row>
    <row r="5" spans="1:12">
      <c r="A5" s="386" t="s">
        <v>108</v>
      </c>
      <c r="B5" s="370" t="s">
        <v>88</v>
      </c>
      <c r="C5" s="370"/>
      <c r="D5" s="370"/>
      <c r="E5" s="370"/>
      <c r="F5" s="370"/>
      <c r="G5" s="370"/>
      <c r="H5" s="370"/>
      <c r="I5" s="370"/>
      <c r="J5" s="370"/>
      <c r="K5" s="370"/>
      <c r="L5" s="371"/>
    </row>
    <row r="6" spans="1:12">
      <c r="A6" s="375"/>
      <c r="B6" s="295"/>
      <c r="C6" s="280" t="s">
        <v>89</v>
      </c>
      <c r="D6" s="280" t="s">
        <v>90</v>
      </c>
      <c r="E6" s="280" t="s">
        <v>91</v>
      </c>
      <c r="F6" s="280" t="s">
        <v>92</v>
      </c>
      <c r="G6" s="280" t="s">
        <v>93</v>
      </c>
      <c r="H6" s="280" t="s">
        <v>94</v>
      </c>
      <c r="I6" s="280" t="s">
        <v>95</v>
      </c>
      <c r="J6" s="280" t="s">
        <v>96</v>
      </c>
      <c r="K6" s="280" t="s">
        <v>97</v>
      </c>
      <c r="L6" s="281" t="s">
        <v>98</v>
      </c>
    </row>
    <row r="7" spans="1:12">
      <c r="A7" s="375"/>
      <c r="B7" s="305" t="s">
        <v>109</v>
      </c>
      <c r="C7" s="306">
        <f>100*A2/15*0.9</f>
        <v>0</v>
      </c>
      <c r="D7" s="306">
        <f>100*A2/15*0.8</f>
        <v>0</v>
      </c>
      <c r="E7" s="306">
        <f>100*A2/15*0.7</f>
        <v>0</v>
      </c>
      <c r="F7" s="306">
        <f>100*A2/15*0.6</f>
        <v>0</v>
      </c>
      <c r="G7" s="306">
        <f>100*A2/15*0.5</f>
        <v>0</v>
      </c>
      <c r="H7" s="306">
        <f>100*A2/15*0.4</f>
        <v>0</v>
      </c>
      <c r="I7" s="306">
        <f>100*A2/15*0.3</f>
        <v>0</v>
      </c>
      <c r="J7" s="306">
        <f>100*A2/15*0.2</f>
        <v>0</v>
      </c>
      <c r="K7" s="306">
        <f>100*A2/15*0.1</f>
        <v>0</v>
      </c>
      <c r="L7" s="307">
        <f>100*A2/15*0</f>
        <v>0</v>
      </c>
    </row>
    <row r="8" spans="1:12">
      <c r="A8" s="375"/>
      <c r="B8" s="311" t="s">
        <v>100</v>
      </c>
      <c r="C8" s="286">
        <f>100*A2/28*0.1</f>
        <v>0</v>
      </c>
      <c r="D8" s="286">
        <f>100*A2/28*0.2</f>
        <v>0</v>
      </c>
      <c r="E8" s="286">
        <f>100*A2/28*0.3</f>
        <v>0</v>
      </c>
      <c r="F8" s="286">
        <f>100*A2/28*0.4</f>
        <v>0</v>
      </c>
      <c r="G8" s="286">
        <f>100*A2/28*0.5</f>
        <v>0</v>
      </c>
      <c r="H8" s="286">
        <f>100*A2/28*0.6</f>
        <v>0</v>
      </c>
      <c r="I8" s="286">
        <f>100*A2/28*0.7</f>
        <v>0</v>
      </c>
      <c r="J8" s="286">
        <f>100*A2/28*0.8</f>
        <v>0</v>
      </c>
      <c r="K8" s="286">
        <f>100*A2/28*0.9</f>
        <v>0</v>
      </c>
      <c r="L8" s="287">
        <f>100*A2/28*1</f>
        <v>0</v>
      </c>
    </row>
    <row r="9" spans="1:12">
      <c r="A9" s="375"/>
      <c r="B9" s="303" t="s">
        <v>101</v>
      </c>
      <c r="C9" s="304">
        <f t="shared" ref="C9:L9" si="0">(C7*480/100)+(C8*377/100)</f>
        <v>0</v>
      </c>
      <c r="D9" s="304">
        <f t="shared" si="0"/>
        <v>0</v>
      </c>
      <c r="E9" s="304">
        <f t="shared" si="0"/>
        <v>0</v>
      </c>
      <c r="F9" s="304">
        <f t="shared" si="0"/>
        <v>0</v>
      </c>
      <c r="G9" s="304">
        <f t="shared" si="0"/>
        <v>0</v>
      </c>
      <c r="H9" s="304">
        <f t="shared" si="0"/>
        <v>0</v>
      </c>
      <c r="I9" s="304">
        <f t="shared" si="0"/>
        <v>0</v>
      </c>
      <c r="J9" s="304">
        <f t="shared" si="0"/>
        <v>0</v>
      </c>
      <c r="K9" s="304">
        <f t="shared" si="0"/>
        <v>0</v>
      </c>
      <c r="L9" s="300">
        <f t="shared" si="0"/>
        <v>0</v>
      </c>
    </row>
    <row r="10" spans="1:12" ht="15" thickBot="1">
      <c r="A10" s="376"/>
      <c r="B10" s="293" t="s">
        <v>26</v>
      </c>
      <c r="C10" s="301">
        <f t="shared" ref="C10:L10" si="1">C8*11.2/100</f>
        <v>0</v>
      </c>
      <c r="D10" s="301">
        <f t="shared" si="1"/>
        <v>0</v>
      </c>
      <c r="E10" s="301">
        <f t="shared" si="1"/>
        <v>0</v>
      </c>
      <c r="F10" s="301">
        <f t="shared" si="1"/>
        <v>0</v>
      </c>
      <c r="G10" s="301">
        <f t="shared" si="1"/>
        <v>0</v>
      </c>
      <c r="H10" s="301">
        <f t="shared" si="1"/>
        <v>0</v>
      </c>
      <c r="I10" s="301">
        <f t="shared" si="1"/>
        <v>0</v>
      </c>
      <c r="J10" s="301">
        <f t="shared" si="1"/>
        <v>0</v>
      </c>
      <c r="K10" s="301">
        <f t="shared" si="1"/>
        <v>0</v>
      </c>
      <c r="L10" s="301">
        <f t="shared" si="1"/>
        <v>0</v>
      </c>
    </row>
    <row r="11" spans="1:12">
      <c r="A11" s="278"/>
      <c r="B11" s="291"/>
      <c r="C11" s="292"/>
      <c r="D11" s="292"/>
      <c r="E11" s="292"/>
      <c r="F11" s="292"/>
      <c r="L11" s="277"/>
    </row>
    <row r="12" spans="1:12" ht="15" thickBot="1">
      <c r="A12" s="278"/>
      <c r="L12" s="277"/>
    </row>
    <row r="13" spans="1:12">
      <c r="A13" s="378" t="s">
        <v>110</v>
      </c>
      <c r="B13" s="370" t="s">
        <v>111</v>
      </c>
      <c r="C13" s="370"/>
      <c r="D13" s="370"/>
      <c r="E13" s="370"/>
      <c r="F13" s="370"/>
      <c r="G13" s="370"/>
      <c r="H13" s="370"/>
      <c r="I13" s="371"/>
      <c r="L13" s="277"/>
    </row>
    <row r="14" spans="1:12">
      <c r="A14" s="379"/>
      <c r="B14" s="295"/>
      <c r="C14" s="280" t="s">
        <v>89</v>
      </c>
      <c r="D14" s="280" t="s">
        <v>90</v>
      </c>
      <c r="E14" s="280" t="s">
        <v>91</v>
      </c>
      <c r="F14" s="280" t="s">
        <v>92</v>
      </c>
      <c r="G14" s="280" t="s">
        <v>93</v>
      </c>
      <c r="H14" s="280" t="s">
        <v>94</v>
      </c>
      <c r="I14" s="281" t="s">
        <v>95</v>
      </c>
      <c r="L14" s="277"/>
    </row>
    <row r="15" spans="1:12">
      <c r="A15" s="379"/>
      <c r="B15" s="305" t="s">
        <v>109</v>
      </c>
      <c r="C15" s="306">
        <f>100*A2/15*0.857</f>
        <v>0</v>
      </c>
      <c r="D15" s="306">
        <f>100*A2/15*0.714</f>
        <v>0</v>
      </c>
      <c r="E15" s="306">
        <f>100*A2/15*0.571</f>
        <v>0</v>
      </c>
      <c r="F15" s="306">
        <f>100*A2/15*0.429</f>
        <v>0</v>
      </c>
      <c r="G15" s="306">
        <f>100*A2/15*0.286</f>
        <v>0</v>
      </c>
      <c r="H15" s="306">
        <f>100*A2/15*0.143</f>
        <v>0</v>
      </c>
      <c r="I15" s="307">
        <f>100*A2/15*0</f>
        <v>0</v>
      </c>
      <c r="L15" s="277"/>
    </row>
    <row r="16" spans="1:12">
      <c r="A16" s="379"/>
      <c r="B16" s="311" t="s">
        <v>100</v>
      </c>
      <c r="C16" s="286">
        <f>100*A2/28*0.143</f>
        <v>0</v>
      </c>
      <c r="D16" s="286">
        <f>100*A2/28*0.286</f>
        <v>0</v>
      </c>
      <c r="E16" s="286">
        <f>100*A2/28*0.429</f>
        <v>0</v>
      </c>
      <c r="F16" s="286">
        <f>100*A2/28*0.571</f>
        <v>0</v>
      </c>
      <c r="G16" s="286">
        <f>100*A2/28*0.714</f>
        <v>0</v>
      </c>
      <c r="H16" s="286">
        <f>100*A2/28*0.857</f>
        <v>0</v>
      </c>
      <c r="I16" s="287">
        <f>100*A2/28*1</f>
        <v>0</v>
      </c>
      <c r="L16" s="277"/>
    </row>
    <row r="17" spans="1:12">
      <c r="A17" s="379"/>
      <c r="B17" s="303" t="s">
        <v>101</v>
      </c>
      <c r="C17" s="304">
        <f t="shared" ref="C17:I17" si="2">(C15*480/100)+(C16*377/100)</f>
        <v>0</v>
      </c>
      <c r="D17" s="304">
        <f t="shared" si="2"/>
        <v>0</v>
      </c>
      <c r="E17" s="304">
        <f t="shared" si="2"/>
        <v>0</v>
      </c>
      <c r="F17" s="304">
        <f t="shared" si="2"/>
        <v>0</v>
      </c>
      <c r="G17" s="304">
        <f t="shared" si="2"/>
        <v>0</v>
      </c>
      <c r="H17" s="304">
        <f t="shared" si="2"/>
        <v>0</v>
      </c>
      <c r="I17" s="304">
        <f t="shared" si="2"/>
        <v>0</v>
      </c>
      <c r="L17" s="277"/>
    </row>
    <row r="18" spans="1:12" ht="15" thickBot="1">
      <c r="A18" s="380"/>
      <c r="B18" s="293" t="s">
        <v>26</v>
      </c>
      <c r="C18" s="301">
        <f t="shared" ref="C18:I18" si="3">C16*11.2/100</f>
        <v>0</v>
      </c>
      <c r="D18" s="301">
        <f t="shared" si="3"/>
        <v>0</v>
      </c>
      <c r="E18" s="301">
        <f t="shared" si="3"/>
        <v>0</v>
      </c>
      <c r="F18" s="301">
        <f t="shared" si="3"/>
        <v>0</v>
      </c>
      <c r="G18" s="301">
        <f t="shared" si="3"/>
        <v>0</v>
      </c>
      <c r="H18" s="301">
        <f t="shared" si="3"/>
        <v>0</v>
      </c>
      <c r="I18" s="301">
        <f t="shared" si="3"/>
        <v>0</v>
      </c>
      <c r="J18" s="291" t="s">
        <v>64</v>
      </c>
      <c r="L18" s="277"/>
    </row>
    <row r="19" spans="1:12">
      <c r="A19" s="278"/>
      <c r="B19" s="291"/>
      <c r="C19" s="294"/>
      <c r="D19" s="294"/>
      <c r="E19" s="294"/>
      <c r="F19" s="294"/>
      <c r="G19" s="294"/>
      <c r="H19" s="294"/>
      <c r="I19" s="294"/>
      <c r="L19" s="277"/>
    </row>
    <row r="20" spans="1:12" ht="15" thickBot="1">
      <c r="A20" s="278"/>
      <c r="L20" s="277"/>
    </row>
    <row r="21" spans="1:12">
      <c r="A21" s="367" t="s">
        <v>104</v>
      </c>
      <c r="B21" s="370" t="s">
        <v>105</v>
      </c>
      <c r="C21" s="370"/>
      <c r="D21" s="370"/>
      <c r="E21" s="370"/>
      <c r="F21" s="371"/>
      <c r="L21" s="277"/>
    </row>
    <row r="22" spans="1:12">
      <c r="A22" s="368"/>
      <c r="B22" s="295"/>
      <c r="C22" s="280" t="s">
        <v>89</v>
      </c>
      <c r="D22" s="280" t="s">
        <v>90</v>
      </c>
      <c r="E22" s="280" t="s">
        <v>91</v>
      </c>
      <c r="F22" s="281" t="s">
        <v>92</v>
      </c>
      <c r="L22" s="277"/>
    </row>
    <row r="23" spans="1:12">
      <c r="A23" s="368"/>
      <c r="B23" s="305" t="s">
        <v>109</v>
      </c>
      <c r="C23" s="306">
        <f>100*A2/15*0.75</f>
        <v>0</v>
      </c>
      <c r="D23" s="306">
        <f>100*A2/15*0.5</f>
        <v>0</v>
      </c>
      <c r="E23" s="306">
        <f>100*A2/15*0.25</f>
        <v>0</v>
      </c>
      <c r="F23" s="307">
        <f>100/15*A2*0</f>
        <v>0</v>
      </c>
      <c r="L23" s="277"/>
    </row>
    <row r="24" spans="1:12">
      <c r="A24" s="368"/>
      <c r="B24" s="311" t="s">
        <v>100</v>
      </c>
      <c r="C24" s="286">
        <f>100*A2/28*0.25</f>
        <v>0</v>
      </c>
      <c r="D24" s="286">
        <f>100*A2/28*0.5</f>
        <v>0</v>
      </c>
      <c r="E24" s="286">
        <f>100*A2/28*0.75</f>
        <v>0</v>
      </c>
      <c r="F24" s="287">
        <f>100*A2/28*1</f>
        <v>0</v>
      </c>
      <c r="L24" s="277"/>
    </row>
    <row r="25" spans="1:12">
      <c r="A25" s="368"/>
      <c r="B25" s="303" t="s">
        <v>101</v>
      </c>
      <c r="C25" s="304">
        <f>(C23*480/100)+(C24*377/100)</f>
        <v>0</v>
      </c>
      <c r="D25" s="304">
        <f>(D23*480/100)+(D24*377/100)</f>
        <v>0</v>
      </c>
      <c r="E25" s="304">
        <f>(E23*480/100)+(E24*377/100)</f>
        <v>0</v>
      </c>
      <c r="F25" s="304">
        <f>(F23*480/100)+(F24*377/100)</f>
        <v>0</v>
      </c>
      <c r="L25" s="277"/>
    </row>
    <row r="26" spans="1:12" ht="15" thickBot="1">
      <c r="A26" s="369"/>
      <c r="B26" s="293" t="s">
        <v>26</v>
      </c>
      <c r="C26" s="301">
        <f>C24*11.2/100</f>
        <v>0</v>
      </c>
      <c r="D26" s="301">
        <f>D24*11.2/100</f>
        <v>0</v>
      </c>
      <c r="E26" s="301">
        <f>E24*11.2/100</f>
        <v>0</v>
      </c>
      <c r="F26" s="301">
        <f>F24*11.2/100</f>
        <v>0</v>
      </c>
      <c r="L26" s="277"/>
    </row>
    <row r="27" spans="1:12">
      <c r="A27" s="278"/>
      <c r="L27" s="277"/>
    </row>
    <row r="28" spans="1:12" ht="15" thickBot="1">
      <c r="A28" s="296"/>
      <c r="B28" s="265"/>
      <c r="C28" s="265"/>
      <c r="D28" s="265"/>
      <c r="E28" s="265"/>
      <c r="F28" s="265"/>
      <c r="G28" s="265"/>
      <c r="H28" s="265"/>
      <c r="I28" s="265"/>
      <c r="J28" s="265"/>
      <c r="K28" s="265"/>
      <c r="L28" s="266"/>
    </row>
    <row r="30" spans="1:12">
      <c r="A30" t="s">
        <v>112</v>
      </c>
    </row>
    <row r="31" spans="1:12" ht="12" customHeight="1"/>
    <row r="32" spans="1:12">
      <c r="A32" s="262" t="s">
        <v>114</v>
      </c>
    </row>
    <row r="33" spans="1:1">
      <c r="A33" s="297" t="s">
        <v>1</v>
      </c>
    </row>
  </sheetData>
  <sheetProtection algorithmName="SHA-512" hashValue="ucv3HONud3Og1mV/OGlCRZRPVJPS1J9l9WIC3D1uxcffbCTMgLhsqIhkWIkzGgvpcPT3LmQA0SAtxSdDpSAnKw==" saltValue="FYD9SUVc95hzK74Uk7xV9Q==" spinCount="100000" sheet="1" objects="1" scenarios="1"/>
  <mergeCells count="8">
    <mergeCell ref="A21:A26"/>
    <mergeCell ref="B21:F21"/>
    <mergeCell ref="A1:B1"/>
    <mergeCell ref="D1:I2"/>
    <mergeCell ref="A5:A10"/>
    <mergeCell ref="B5:L5"/>
    <mergeCell ref="A13:A18"/>
    <mergeCell ref="B13:I1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E8CA-F4D4-489D-88FB-99C87B7F55C9}">
  <sheetPr>
    <tabColor theme="8" tint="-0.499984740745262"/>
  </sheetPr>
  <dimension ref="A1:L33"/>
  <sheetViews>
    <sheetView showGridLines="0" zoomScale="80" zoomScaleNormal="80" workbookViewId="0">
      <selection sqref="A1:B1"/>
    </sheetView>
  </sheetViews>
  <sheetFormatPr defaultColWidth="9.140625" defaultRowHeight="14.45"/>
  <cols>
    <col min="1" max="1" width="20.28515625" customWidth="1"/>
    <col min="2" max="2" width="21.42578125" customWidth="1"/>
    <col min="13" max="13" width="4.28515625" customWidth="1"/>
  </cols>
  <sheetData>
    <row r="1" spans="1:12" ht="45" customHeight="1">
      <c r="A1" s="372" t="s">
        <v>85</v>
      </c>
      <c r="B1" s="373"/>
      <c r="C1" s="275"/>
      <c r="D1" s="382" t="s">
        <v>115</v>
      </c>
      <c r="E1" s="382"/>
      <c r="F1" s="382"/>
      <c r="G1" s="382"/>
      <c r="H1" s="382"/>
      <c r="I1" s="382"/>
      <c r="J1" s="382"/>
      <c r="K1" s="275"/>
      <c r="L1" s="276"/>
    </row>
    <row r="2" spans="1:12" ht="45" customHeight="1" thickBot="1">
      <c r="A2" s="1">
        <v>0</v>
      </c>
      <c r="D2" s="387"/>
      <c r="E2" s="387"/>
      <c r="F2" s="387"/>
      <c r="G2" s="387"/>
      <c r="H2" s="387"/>
      <c r="I2" s="387"/>
      <c r="J2" s="387"/>
      <c r="L2" s="277"/>
    </row>
    <row r="3" spans="1:12">
      <c r="A3" s="278"/>
      <c r="L3" s="277"/>
    </row>
    <row r="4" spans="1:12" ht="15" thickBot="1">
      <c r="A4" s="278"/>
      <c r="L4" s="277"/>
    </row>
    <row r="5" spans="1:12">
      <c r="A5" s="386" t="s">
        <v>108</v>
      </c>
      <c r="B5" s="370" t="s">
        <v>88</v>
      </c>
      <c r="C5" s="370"/>
      <c r="D5" s="370"/>
      <c r="E5" s="370"/>
      <c r="F5" s="370"/>
      <c r="G5" s="370"/>
      <c r="H5" s="370"/>
      <c r="I5" s="370"/>
      <c r="J5" s="370"/>
      <c r="K5" s="370"/>
      <c r="L5" s="371"/>
    </row>
    <row r="6" spans="1:12">
      <c r="A6" s="375"/>
      <c r="B6" s="295"/>
      <c r="C6" s="280" t="s">
        <v>89</v>
      </c>
      <c r="D6" s="280" t="s">
        <v>90</v>
      </c>
      <c r="E6" s="280" t="s">
        <v>91</v>
      </c>
      <c r="F6" s="280" t="s">
        <v>92</v>
      </c>
      <c r="G6" s="280" t="s">
        <v>93</v>
      </c>
      <c r="H6" s="280" t="s">
        <v>94</v>
      </c>
      <c r="I6" s="280" t="s">
        <v>95</v>
      </c>
      <c r="J6" s="280" t="s">
        <v>96</v>
      </c>
      <c r="K6" s="280" t="s">
        <v>97</v>
      </c>
      <c r="L6" s="281" t="s">
        <v>98</v>
      </c>
    </row>
    <row r="7" spans="1:12">
      <c r="A7" s="375"/>
      <c r="B7" s="305" t="s">
        <v>116</v>
      </c>
      <c r="C7" s="306">
        <f>100*A2/15.7*0.9</f>
        <v>0</v>
      </c>
      <c r="D7" s="306">
        <f>100*A2/15.7*0.8</f>
        <v>0</v>
      </c>
      <c r="E7" s="306">
        <f>100*A2/15.7*0.7</f>
        <v>0</v>
      </c>
      <c r="F7" s="306">
        <f>100*A2/15.7*0.6</f>
        <v>0</v>
      </c>
      <c r="G7" s="306">
        <f>100*A2/15.7*0.5</f>
        <v>0</v>
      </c>
      <c r="H7" s="306">
        <f>100*A2/15.7*0.4</f>
        <v>0</v>
      </c>
      <c r="I7" s="306">
        <f>100*A2/15.7*0.3</f>
        <v>0</v>
      </c>
      <c r="J7" s="306">
        <f>100*A2/15.7*0.2</f>
        <v>0</v>
      </c>
      <c r="K7" s="306">
        <f>100*A2/15.7*0.1</f>
        <v>0</v>
      </c>
      <c r="L7" s="307">
        <f>100*A2/15.7*0</f>
        <v>0</v>
      </c>
    </row>
    <row r="8" spans="1:12">
      <c r="A8" s="375"/>
      <c r="B8" s="308" t="s">
        <v>99</v>
      </c>
      <c r="C8" s="309">
        <f>100*A2/13.5*0.1</f>
        <v>0</v>
      </c>
      <c r="D8" s="309">
        <f>100*A2/13.5*0.2</f>
        <v>0</v>
      </c>
      <c r="E8" s="309">
        <f>100*A2/13.5*0.3</f>
        <v>0</v>
      </c>
      <c r="F8" s="309">
        <f>100*A2/13.5*0.4</f>
        <v>0</v>
      </c>
      <c r="G8" s="309">
        <f>100*A2/13.5*0.5</f>
        <v>0</v>
      </c>
      <c r="H8" s="309">
        <f>100*A2/13.5*0.6</f>
        <v>0</v>
      </c>
      <c r="I8" s="309">
        <f>100*A2/13.5*0.7</f>
        <v>0</v>
      </c>
      <c r="J8" s="309">
        <f>100*A2/13.5*0.8</f>
        <v>0</v>
      </c>
      <c r="K8" s="309">
        <f>100*A2/13.5*0.9</f>
        <v>0</v>
      </c>
      <c r="L8" s="310">
        <f>100*A2/13.5*1</f>
        <v>0</v>
      </c>
    </row>
    <row r="9" spans="1:12">
      <c r="A9" s="375"/>
      <c r="B9" s="303" t="s">
        <v>101</v>
      </c>
      <c r="C9" s="304">
        <f t="shared" ref="C9:L9" si="0">(C7*500/100)+(C8*473/100)</f>
        <v>0</v>
      </c>
      <c r="D9" s="304">
        <f t="shared" si="0"/>
        <v>0</v>
      </c>
      <c r="E9" s="304">
        <f t="shared" si="0"/>
        <v>0</v>
      </c>
      <c r="F9" s="304">
        <f t="shared" si="0"/>
        <v>0</v>
      </c>
      <c r="G9" s="304">
        <f t="shared" si="0"/>
        <v>0</v>
      </c>
      <c r="H9" s="304">
        <f t="shared" si="0"/>
        <v>0</v>
      </c>
      <c r="I9" s="304">
        <f t="shared" si="0"/>
        <v>0</v>
      </c>
      <c r="J9" s="304">
        <f t="shared" si="0"/>
        <v>0</v>
      </c>
      <c r="K9" s="304">
        <f t="shared" si="0"/>
        <v>0</v>
      </c>
      <c r="L9" s="304">
        <f t="shared" si="0"/>
        <v>0</v>
      </c>
    </row>
    <row r="10" spans="1:12" ht="15" thickBot="1">
      <c r="A10" s="376"/>
      <c r="B10" s="293" t="s">
        <v>26</v>
      </c>
      <c r="C10" s="301">
        <f t="shared" ref="C10:L10" si="1">C8*5.3/100</f>
        <v>0</v>
      </c>
      <c r="D10" s="301">
        <f t="shared" si="1"/>
        <v>0</v>
      </c>
      <c r="E10" s="301">
        <f t="shared" si="1"/>
        <v>0</v>
      </c>
      <c r="F10" s="301">
        <f t="shared" si="1"/>
        <v>0</v>
      </c>
      <c r="G10" s="301">
        <f t="shared" si="1"/>
        <v>0</v>
      </c>
      <c r="H10" s="301">
        <f t="shared" si="1"/>
        <v>0</v>
      </c>
      <c r="I10" s="301">
        <f t="shared" si="1"/>
        <v>0</v>
      </c>
      <c r="J10" s="301">
        <f t="shared" si="1"/>
        <v>0</v>
      </c>
      <c r="K10" s="301">
        <f t="shared" si="1"/>
        <v>0</v>
      </c>
      <c r="L10" s="302">
        <f t="shared" si="1"/>
        <v>0</v>
      </c>
    </row>
    <row r="11" spans="1:12">
      <c r="A11" s="278"/>
      <c r="B11" s="291"/>
      <c r="C11" s="292"/>
      <c r="D11" s="292"/>
      <c r="E11" s="292"/>
      <c r="F11" s="292"/>
      <c r="L11" s="277"/>
    </row>
    <row r="12" spans="1:12" ht="15" thickBot="1">
      <c r="A12" s="278"/>
      <c r="L12" s="277"/>
    </row>
    <row r="13" spans="1:12">
      <c r="A13" s="378" t="s">
        <v>110</v>
      </c>
      <c r="B13" s="370" t="s">
        <v>111</v>
      </c>
      <c r="C13" s="370"/>
      <c r="D13" s="370"/>
      <c r="E13" s="370"/>
      <c r="F13" s="370"/>
      <c r="G13" s="370"/>
      <c r="H13" s="370"/>
      <c r="I13" s="371"/>
      <c r="L13" s="277"/>
    </row>
    <row r="14" spans="1:12">
      <c r="A14" s="379"/>
      <c r="B14" s="295"/>
      <c r="C14" s="280" t="s">
        <v>89</v>
      </c>
      <c r="D14" s="280" t="s">
        <v>90</v>
      </c>
      <c r="E14" s="280" t="s">
        <v>91</v>
      </c>
      <c r="F14" s="280" t="s">
        <v>92</v>
      </c>
      <c r="G14" s="280" t="s">
        <v>93</v>
      </c>
      <c r="H14" s="280" t="s">
        <v>94</v>
      </c>
      <c r="I14" s="281" t="s">
        <v>95</v>
      </c>
      <c r="L14" s="277"/>
    </row>
    <row r="15" spans="1:12">
      <c r="A15" s="379"/>
      <c r="B15" s="305" t="s">
        <v>116</v>
      </c>
      <c r="C15" s="306">
        <f>100*A2/15.7*0.857</f>
        <v>0</v>
      </c>
      <c r="D15" s="306">
        <f>100*A2/15.7*0.714</f>
        <v>0</v>
      </c>
      <c r="E15" s="306">
        <f>100*A2/15.7*0.571</f>
        <v>0</v>
      </c>
      <c r="F15" s="306">
        <f>100*A2/15.7*0.429</f>
        <v>0</v>
      </c>
      <c r="G15" s="306">
        <f>100*A2/15.7*0.286</f>
        <v>0</v>
      </c>
      <c r="H15" s="306">
        <f>100*A2/15.7*0.143</f>
        <v>0</v>
      </c>
      <c r="I15" s="307">
        <f>100*A2/15.7*0</f>
        <v>0</v>
      </c>
      <c r="L15" s="277"/>
    </row>
    <row r="16" spans="1:12">
      <c r="A16" s="379"/>
      <c r="B16" s="308" t="s">
        <v>99</v>
      </c>
      <c r="C16" s="309">
        <f>100*A2/13.5*0.143</f>
        <v>0</v>
      </c>
      <c r="D16" s="309">
        <f>100*A2/13.5*0.286</f>
        <v>0</v>
      </c>
      <c r="E16" s="309">
        <f>100*A2/13.5*0.429</f>
        <v>0</v>
      </c>
      <c r="F16" s="309">
        <f>100*A2/13.5*0.571</f>
        <v>0</v>
      </c>
      <c r="G16" s="309">
        <f>100*A2/13.5*0.714</f>
        <v>0</v>
      </c>
      <c r="H16" s="309">
        <f>100*A2/13.5*0.857</f>
        <v>0</v>
      </c>
      <c r="I16" s="310">
        <f>100*A2/13.5*1</f>
        <v>0</v>
      </c>
      <c r="L16" s="277"/>
    </row>
    <row r="17" spans="1:12">
      <c r="A17" s="379"/>
      <c r="B17" s="303" t="s">
        <v>101</v>
      </c>
      <c r="C17" s="304">
        <f t="shared" ref="C17:I17" si="2">(C15*500/100)+(C16*473/100)</f>
        <v>0</v>
      </c>
      <c r="D17" s="304">
        <f t="shared" si="2"/>
        <v>0</v>
      </c>
      <c r="E17" s="304">
        <f t="shared" si="2"/>
        <v>0</v>
      </c>
      <c r="F17" s="304">
        <f t="shared" si="2"/>
        <v>0</v>
      </c>
      <c r="G17" s="304">
        <f t="shared" si="2"/>
        <v>0</v>
      </c>
      <c r="H17" s="304">
        <f t="shared" si="2"/>
        <v>0</v>
      </c>
      <c r="I17" s="304">
        <f t="shared" si="2"/>
        <v>0</v>
      </c>
      <c r="L17" s="277"/>
    </row>
    <row r="18" spans="1:12" ht="15" thickBot="1">
      <c r="A18" s="380"/>
      <c r="B18" s="293" t="s">
        <v>26</v>
      </c>
      <c r="C18" s="301">
        <f t="shared" ref="C18:I18" si="3">C16*5.3/100</f>
        <v>0</v>
      </c>
      <c r="D18" s="301">
        <f t="shared" si="3"/>
        <v>0</v>
      </c>
      <c r="E18" s="301">
        <f t="shared" si="3"/>
        <v>0</v>
      </c>
      <c r="F18" s="301">
        <f t="shared" si="3"/>
        <v>0</v>
      </c>
      <c r="G18" s="301">
        <f t="shared" si="3"/>
        <v>0</v>
      </c>
      <c r="H18" s="301">
        <f t="shared" si="3"/>
        <v>0</v>
      </c>
      <c r="I18" s="302">
        <f t="shared" si="3"/>
        <v>0</v>
      </c>
      <c r="J18" s="291" t="s">
        <v>64</v>
      </c>
      <c r="L18" s="277"/>
    </row>
    <row r="19" spans="1:12">
      <c r="A19" s="278"/>
      <c r="B19" s="291"/>
      <c r="C19" s="294"/>
      <c r="D19" s="294"/>
      <c r="E19" s="294"/>
      <c r="F19" s="294"/>
      <c r="G19" s="294"/>
      <c r="H19" s="294"/>
      <c r="I19" s="294"/>
      <c r="L19" s="277"/>
    </row>
    <row r="20" spans="1:12" ht="15" thickBot="1">
      <c r="A20" s="278"/>
      <c r="L20" s="277"/>
    </row>
    <row r="21" spans="1:12">
      <c r="A21" s="367" t="s">
        <v>104</v>
      </c>
      <c r="B21" s="370" t="s">
        <v>105</v>
      </c>
      <c r="C21" s="370"/>
      <c r="D21" s="370"/>
      <c r="E21" s="370"/>
      <c r="F21" s="371"/>
      <c r="L21" s="277"/>
    </row>
    <row r="22" spans="1:12">
      <c r="A22" s="368"/>
      <c r="B22" s="295"/>
      <c r="C22" s="280" t="s">
        <v>89</v>
      </c>
      <c r="D22" s="280" t="s">
        <v>90</v>
      </c>
      <c r="E22" s="280" t="s">
        <v>91</v>
      </c>
      <c r="F22" s="281" t="s">
        <v>92</v>
      </c>
      <c r="L22" s="277"/>
    </row>
    <row r="23" spans="1:12">
      <c r="A23" s="368"/>
      <c r="B23" s="305" t="s">
        <v>116</v>
      </c>
      <c r="C23" s="306">
        <f>100*A2/15.7*0.75</f>
        <v>0</v>
      </c>
      <c r="D23" s="306">
        <f>100*A2/15.7*0.5</f>
        <v>0</v>
      </c>
      <c r="E23" s="306">
        <f>100*A2/15.7*0.25</f>
        <v>0</v>
      </c>
      <c r="F23" s="307">
        <f>100/15.7*A2*0</f>
        <v>0</v>
      </c>
      <c r="L23" s="277"/>
    </row>
    <row r="24" spans="1:12">
      <c r="A24" s="368"/>
      <c r="B24" s="308" t="s">
        <v>99</v>
      </c>
      <c r="C24" s="309">
        <f>100*A2/13.5*0.25</f>
        <v>0</v>
      </c>
      <c r="D24" s="309">
        <f>100*A2/13.5*0.5</f>
        <v>0</v>
      </c>
      <c r="E24" s="309">
        <f>100*A2/13.5*0.75</f>
        <v>0</v>
      </c>
      <c r="F24" s="310">
        <f>100*A2/13.5*1</f>
        <v>0</v>
      </c>
      <c r="L24" s="277"/>
    </row>
    <row r="25" spans="1:12">
      <c r="A25" s="368"/>
      <c r="B25" s="303" t="s">
        <v>101</v>
      </c>
      <c r="C25" s="304">
        <f>(C23*500/100)+(C24*473/100)</f>
        <v>0</v>
      </c>
      <c r="D25" s="304">
        <f>(D23*500/100)+(D24*473/100)</f>
        <v>0</v>
      </c>
      <c r="E25" s="304">
        <f>(E23*500/100)+(E24*473/100)</f>
        <v>0</v>
      </c>
      <c r="F25" s="304">
        <f>(F23*500/100)+(F24*473/100)</f>
        <v>0</v>
      </c>
      <c r="L25" s="277"/>
    </row>
    <row r="26" spans="1:12" ht="15" thickBot="1">
      <c r="A26" s="369"/>
      <c r="B26" s="293" t="s">
        <v>26</v>
      </c>
      <c r="C26" s="301">
        <f>C24*5.3/100</f>
        <v>0</v>
      </c>
      <c r="D26" s="301">
        <f>D24*5.3/100</f>
        <v>0</v>
      </c>
      <c r="E26" s="301">
        <f>E24*5.3/100</f>
        <v>0</v>
      </c>
      <c r="F26" s="302">
        <f>F24*5.3/100</f>
        <v>0</v>
      </c>
      <c r="L26" s="277"/>
    </row>
    <row r="27" spans="1:12">
      <c r="A27" s="278"/>
      <c r="L27" s="277"/>
    </row>
    <row r="28" spans="1:12" ht="15" thickBot="1">
      <c r="A28" s="296"/>
      <c r="B28" s="265"/>
      <c r="C28" s="265"/>
      <c r="D28" s="265"/>
      <c r="E28" s="265"/>
      <c r="F28" s="265"/>
      <c r="G28" s="265"/>
      <c r="H28" s="265"/>
      <c r="I28" s="265"/>
      <c r="J28" s="265"/>
      <c r="K28" s="265"/>
      <c r="L28" s="266"/>
    </row>
    <row r="30" spans="1:12">
      <c r="A30" t="s">
        <v>117</v>
      </c>
    </row>
    <row r="31" spans="1:12">
      <c r="B31" s="385"/>
      <c r="C31" s="385"/>
      <c r="D31" s="385"/>
      <c r="E31" s="385"/>
      <c r="F31" s="385"/>
      <c r="G31" s="385"/>
      <c r="H31" s="385"/>
    </row>
    <row r="32" spans="1:12">
      <c r="A32" s="262" t="s">
        <v>63</v>
      </c>
    </row>
    <row r="33" spans="1:1">
      <c r="A33" s="297" t="s">
        <v>1</v>
      </c>
    </row>
  </sheetData>
  <sheetProtection algorithmName="SHA-512" hashValue="nvCbYn6dsrISXhVsSEiRROBweAaPZ6FFhWu4JCMxDbjjIA2GjdMA6F2RD42R1QzbPnTc91Swbn/N8YTqGEVi7w==" saltValue="eFzalym5og93BcjdOUUGWg==" spinCount="100000" sheet="1" objects="1" scenarios="1"/>
  <mergeCells count="9">
    <mergeCell ref="A21:A26"/>
    <mergeCell ref="B21:F21"/>
    <mergeCell ref="B31:H31"/>
    <mergeCell ref="D1:J2"/>
    <mergeCell ref="A1:B1"/>
    <mergeCell ref="A5:A10"/>
    <mergeCell ref="B5:L5"/>
    <mergeCell ref="A13:A18"/>
    <mergeCell ref="B13:I1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63936-7B93-4574-A2E7-7DB575CE7D65}">
  <sheetPr>
    <tabColor theme="8" tint="-0.249977111117893"/>
  </sheetPr>
  <dimension ref="A1:L33"/>
  <sheetViews>
    <sheetView showGridLines="0" zoomScale="80" zoomScaleNormal="80" workbookViewId="0">
      <selection sqref="A1:B1"/>
    </sheetView>
  </sheetViews>
  <sheetFormatPr defaultColWidth="9.140625" defaultRowHeight="14.45"/>
  <cols>
    <col min="1" max="1" width="20.28515625" customWidth="1"/>
    <col min="2" max="2" width="21.42578125" customWidth="1"/>
    <col min="13" max="13" width="4.28515625" customWidth="1"/>
  </cols>
  <sheetData>
    <row r="1" spans="1:12" ht="45" customHeight="1">
      <c r="A1" s="372" t="s">
        <v>85</v>
      </c>
      <c r="B1" s="373"/>
      <c r="C1" s="275"/>
      <c r="D1" s="382" t="s">
        <v>118</v>
      </c>
      <c r="E1" s="382"/>
      <c r="F1" s="382"/>
      <c r="G1" s="382"/>
      <c r="H1" s="382"/>
      <c r="I1" s="382"/>
      <c r="J1" s="382"/>
      <c r="K1" s="275"/>
      <c r="L1" s="276"/>
    </row>
    <row r="2" spans="1:12" ht="45" customHeight="1" thickBot="1">
      <c r="A2" s="1">
        <v>0</v>
      </c>
      <c r="D2" s="387"/>
      <c r="E2" s="387"/>
      <c r="F2" s="387"/>
      <c r="G2" s="387"/>
      <c r="H2" s="387"/>
      <c r="I2" s="387"/>
      <c r="J2" s="387"/>
      <c r="L2" s="277"/>
    </row>
    <row r="3" spans="1:12">
      <c r="A3" s="278"/>
      <c r="L3" s="277"/>
    </row>
    <row r="4" spans="1:12" ht="15" thickBot="1">
      <c r="A4" s="278"/>
      <c r="L4" s="277"/>
    </row>
    <row r="5" spans="1:12">
      <c r="A5" s="386" t="s">
        <v>108</v>
      </c>
      <c r="B5" s="370" t="s">
        <v>88</v>
      </c>
      <c r="C5" s="370"/>
      <c r="D5" s="370"/>
      <c r="E5" s="370"/>
      <c r="F5" s="370"/>
      <c r="G5" s="370"/>
      <c r="H5" s="370"/>
      <c r="I5" s="370"/>
      <c r="J5" s="370"/>
      <c r="K5" s="370"/>
      <c r="L5" s="371"/>
    </row>
    <row r="6" spans="1:12">
      <c r="A6" s="375"/>
      <c r="B6" s="295"/>
      <c r="C6" s="280" t="s">
        <v>89</v>
      </c>
      <c r="D6" s="280" t="s">
        <v>90</v>
      </c>
      <c r="E6" s="280" t="s">
        <v>91</v>
      </c>
      <c r="F6" s="280" t="s">
        <v>92</v>
      </c>
      <c r="G6" s="280" t="s">
        <v>93</v>
      </c>
      <c r="H6" s="280" t="s">
        <v>94</v>
      </c>
      <c r="I6" s="280" t="s">
        <v>95</v>
      </c>
      <c r="J6" s="280" t="s">
        <v>96</v>
      </c>
      <c r="K6" s="280" t="s">
        <v>97</v>
      </c>
      <c r="L6" s="281" t="s">
        <v>98</v>
      </c>
    </row>
    <row r="7" spans="1:12">
      <c r="A7" s="375"/>
      <c r="B7" s="305" t="s">
        <v>119</v>
      </c>
      <c r="C7" s="306">
        <f>100*A2/16.2*0.9</f>
        <v>0</v>
      </c>
      <c r="D7" s="306">
        <f>100*A2/16.2*0.8</f>
        <v>0</v>
      </c>
      <c r="E7" s="306">
        <f>100*A2/16.2*0.7</f>
        <v>0</v>
      </c>
      <c r="F7" s="306">
        <f>100*A2/16.2*0.6</f>
        <v>0</v>
      </c>
      <c r="G7" s="306">
        <f>100*A2/16.2*0.5</f>
        <v>0</v>
      </c>
      <c r="H7" s="306">
        <f>100*A2/16.2*0.4</f>
        <v>0</v>
      </c>
      <c r="I7" s="306">
        <f>100*A2/16.2*0.3</f>
        <v>0</v>
      </c>
      <c r="J7" s="306">
        <f>100*A2/16.2*0.2</f>
        <v>0</v>
      </c>
      <c r="K7" s="306">
        <f>100*A2/16.2*0.1</f>
        <v>0</v>
      </c>
      <c r="L7" s="307">
        <f>100*A2/16.2*0</f>
        <v>0</v>
      </c>
    </row>
    <row r="8" spans="1:12">
      <c r="A8" s="375"/>
      <c r="B8" s="311" t="s">
        <v>100</v>
      </c>
      <c r="C8" s="286">
        <f>100*A2/28*0.1</f>
        <v>0</v>
      </c>
      <c r="D8" s="286">
        <f>100*A2/28*0.2</f>
        <v>0</v>
      </c>
      <c r="E8" s="286">
        <f>100*A2/28*0.3</f>
        <v>0</v>
      </c>
      <c r="F8" s="286">
        <f>100*A2/28*0.4</f>
        <v>0</v>
      </c>
      <c r="G8" s="286">
        <f>100*A2/28*0.5</f>
        <v>0</v>
      </c>
      <c r="H8" s="286">
        <f>100*A2/28*0.6</f>
        <v>0</v>
      </c>
      <c r="I8" s="286">
        <f>100*A2/28*0.7</f>
        <v>0</v>
      </c>
      <c r="J8" s="286">
        <f>100*A2/28*0.8</f>
        <v>0</v>
      </c>
      <c r="K8" s="286">
        <f>100*A2/28*0.9</f>
        <v>0</v>
      </c>
      <c r="L8" s="287">
        <f>100*A2/28*1</f>
        <v>0</v>
      </c>
    </row>
    <row r="9" spans="1:12">
      <c r="A9" s="375"/>
      <c r="B9" s="303" t="s">
        <v>101</v>
      </c>
      <c r="C9" s="304">
        <f t="shared" ref="C9:L9" si="0">(C7*500/100)+(C8*377/100)</f>
        <v>0</v>
      </c>
      <c r="D9" s="304">
        <f t="shared" si="0"/>
        <v>0</v>
      </c>
      <c r="E9" s="304">
        <f t="shared" si="0"/>
        <v>0</v>
      </c>
      <c r="F9" s="304">
        <f t="shared" si="0"/>
        <v>0</v>
      </c>
      <c r="G9" s="304">
        <f t="shared" si="0"/>
        <v>0</v>
      </c>
      <c r="H9" s="304">
        <f t="shared" si="0"/>
        <v>0</v>
      </c>
      <c r="I9" s="304">
        <f t="shared" si="0"/>
        <v>0</v>
      </c>
      <c r="J9" s="304">
        <f t="shared" si="0"/>
        <v>0</v>
      </c>
      <c r="K9" s="304">
        <f t="shared" si="0"/>
        <v>0</v>
      </c>
      <c r="L9" s="304">
        <f t="shared" si="0"/>
        <v>0</v>
      </c>
    </row>
    <row r="10" spans="1:12" ht="15" thickBot="1">
      <c r="A10" s="376"/>
      <c r="B10" s="293" t="s">
        <v>26</v>
      </c>
      <c r="C10" s="301">
        <f t="shared" ref="C10:L10" si="1">C8*11.2/100</f>
        <v>0</v>
      </c>
      <c r="D10" s="301">
        <f t="shared" si="1"/>
        <v>0</v>
      </c>
      <c r="E10" s="301">
        <f t="shared" si="1"/>
        <v>0</v>
      </c>
      <c r="F10" s="301">
        <f t="shared" si="1"/>
        <v>0</v>
      </c>
      <c r="G10" s="301">
        <f t="shared" si="1"/>
        <v>0</v>
      </c>
      <c r="H10" s="301">
        <f t="shared" si="1"/>
        <v>0</v>
      </c>
      <c r="I10" s="301">
        <f t="shared" si="1"/>
        <v>0</v>
      </c>
      <c r="J10" s="301">
        <f t="shared" si="1"/>
        <v>0</v>
      </c>
      <c r="K10" s="301">
        <f t="shared" si="1"/>
        <v>0</v>
      </c>
      <c r="L10" s="301">
        <f t="shared" si="1"/>
        <v>0</v>
      </c>
    </row>
    <row r="11" spans="1:12">
      <c r="A11" s="278"/>
      <c r="B11" s="291"/>
      <c r="C11" s="292"/>
      <c r="D11" s="292"/>
      <c r="E11" s="292"/>
      <c r="F11" s="292"/>
      <c r="L11" s="277"/>
    </row>
    <row r="12" spans="1:12" ht="15" thickBot="1">
      <c r="A12" s="278"/>
      <c r="L12" s="277"/>
    </row>
    <row r="13" spans="1:12">
      <c r="A13" s="378" t="s">
        <v>110</v>
      </c>
      <c r="B13" s="370" t="s">
        <v>111</v>
      </c>
      <c r="C13" s="370"/>
      <c r="D13" s="370"/>
      <c r="E13" s="370"/>
      <c r="F13" s="370"/>
      <c r="G13" s="370"/>
      <c r="H13" s="370"/>
      <c r="I13" s="371"/>
      <c r="L13" s="277"/>
    </row>
    <row r="14" spans="1:12">
      <c r="A14" s="379"/>
      <c r="B14" s="295"/>
      <c r="C14" s="280" t="s">
        <v>89</v>
      </c>
      <c r="D14" s="280" t="s">
        <v>90</v>
      </c>
      <c r="E14" s="280" t="s">
        <v>91</v>
      </c>
      <c r="F14" s="280" t="s">
        <v>92</v>
      </c>
      <c r="G14" s="280" t="s">
        <v>93</v>
      </c>
      <c r="H14" s="280" t="s">
        <v>94</v>
      </c>
      <c r="I14" s="281" t="s">
        <v>95</v>
      </c>
      <c r="L14" s="277"/>
    </row>
    <row r="15" spans="1:12">
      <c r="A15" s="379"/>
      <c r="B15" s="305" t="s">
        <v>119</v>
      </c>
      <c r="C15" s="306">
        <f>100*A2/16.2*0.857</f>
        <v>0</v>
      </c>
      <c r="D15" s="306">
        <f>100*A2/16.2*0.714</f>
        <v>0</v>
      </c>
      <c r="E15" s="306">
        <f>100*A2/16.2*0.571</f>
        <v>0</v>
      </c>
      <c r="F15" s="306">
        <f>100*A2/16.2*0.429</f>
        <v>0</v>
      </c>
      <c r="G15" s="306">
        <f>100*A2/16.2*0.286</f>
        <v>0</v>
      </c>
      <c r="H15" s="306">
        <f>100*A2/16.2*0.143</f>
        <v>0</v>
      </c>
      <c r="I15" s="307">
        <f>100*A2/16.2*0</f>
        <v>0</v>
      </c>
      <c r="L15" s="277"/>
    </row>
    <row r="16" spans="1:12">
      <c r="A16" s="379"/>
      <c r="B16" s="311" t="s">
        <v>100</v>
      </c>
      <c r="C16" s="286">
        <f>100*A2/28*0.143</f>
        <v>0</v>
      </c>
      <c r="D16" s="286">
        <f>100*A2/28*0.286</f>
        <v>0</v>
      </c>
      <c r="E16" s="286">
        <f>100*A2/28*0.429</f>
        <v>0</v>
      </c>
      <c r="F16" s="286">
        <f>100*A2/28*0.571</f>
        <v>0</v>
      </c>
      <c r="G16" s="286">
        <f>100*A2/28*0.714</f>
        <v>0</v>
      </c>
      <c r="H16" s="286">
        <f>100*A2/28*0.857</f>
        <v>0</v>
      </c>
      <c r="I16" s="287">
        <f>100*A2/28*1</f>
        <v>0</v>
      </c>
      <c r="L16" s="277"/>
    </row>
    <row r="17" spans="1:12">
      <c r="A17" s="379"/>
      <c r="B17" s="303" t="s">
        <v>101</v>
      </c>
      <c r="C17" s="304">
        <f t="shared" ref="C17:I17" si="2">(C15*500/100)+(C16*377/100)</f>
        <v>0</v>
      </c>
      <c r="D17" s="304">
        <f t="shared" si="2"/>
        <v>0</v>
      </c>
      <c r="E17" s="304">
        <f t="shared" si="2"/>
        <v>0</v>
      </c>
      <c r="F17" s="304">
        <f t="shared" si="2"/>
        <v>0</v>
      </c>
      <c r="G17" s="304">
        <f t="shared" si="2"/>
        <v>0</v>
      </c>
      <c r="H17" s="304">
        <f t="shared" si="2"/>
        <v>0</v>
      </c>
      <c r="I17" s="304">
        <f t="shared" si="2"/>
        <v>0</v>
      </c>
      <c r="L17" s="277"/>
    </row>
    <row r="18" spans="1:12" ht="15" thickBot="1">
      <c r="A18" s="380"/>
      <c r="B18" s="293" t="s">
        <v>26</v>
      </c>
      <c r="C18" s="301">
        <f t="shared" ref="C18:I18" si="3">C16*11.2/100</f>
        <v>0</v>
      </c>
      <c r="D18" s="301">
        <f t="shared" si="3"/>
        <v>0</v>
      </c>
      <c r="E18" s="301">
        <f t="shared" si="3"/>
        <v>0</v>
      </c>
      <c r="F18" s="301">
        <f t="shared" si="3"/>
        <v>0</v>
      </c>
      <c r="G18" s="301">
        <f t="shared" si="3"/>
        <v>0</v>
      </c>
      <c r="H18" s="301">
        <f t="shared" si="3"/>
        <v>0</v>
      </c>
      <c r="I18" s="301">
        <f t="shared" si="3"/>
        <v>0</v>
      </c>
      <c r="J18" s="291" t="s">
        <v>64</v>
      </c>
      <c r="L18" s="277"/>
    </row>
    <row r="19" spans="1:12">
      <c r="A19" s="278"/>
      <c r="B19" s="291"/>
      <c r="C19" s="294"/>
      <c r="D19" s="294"/>
      <c r="E19" s="294"/>
      <c r="F19" s="294"/>
      <c r="G19" s="294"/>
      <c r="H19" s="294"/>
      <c r="I19" s="294"/>
      <c r="L19" s="277"/>
    </row>
    <row r="20" spans="1:12" ht="15" thickBot="1">
      <c r="A20" s="278"/>
      <c r="L20" s="277"/>
    </row>
    <row r="21" spans="1:12">
      <c r="A21" s="367" t="s">
        <v>104</v>
      </c>
      <c r="B21" s="370" t="s">
        <v>105</v>
      </c>
      <c r="C21" s="370"/>
      <c r="D21" s="370"/>
      <c r="E21" s="370"/>
      <c r="F21" s="371"/>
      <c r="L21" s="277"/>
    </row>
    <row r="22" spans="1:12">
      <c r="A22" s="368"/>
      <c r="B22" s="295"/>
      <c r="C22" s="280" t="s">
        <v>89</v>
      </c>
      <c r="D22" s="280" t="s">
        <v>90</v>
      </c>
      <c r="E22" s="280" t="s">
        <v>91</v>
      </c>
      <c r="F22" s="281" t="s">
        <v>92</v>
      </c>
      <c r="L22" s="277"/>
    </row>
    <row r="23" spans="1:12">
      <c r="A23" s="368"/>
      <c r="B23" s="305" t="s">
        <v>119</v>
      </c>
      <c r="C23" s="306">
        <f>100*A2/16.2*0.75</f>
        <v>0</v>
      </c>
      <c r="D23" s="306">
        <f>100*A2/16.2*0.5</f>
        <v>0</v>
      </c>
      <c r="E23" s="306">
        <f>100*A2/16.2*0.25</f>
        <v>0</v>
      </c>
      <c r="F23" s="307">
        <f>100/16.2*A2*0</f>
        <v>0</v>
      </c>
      <c r="L23" s="277"/>
    </row>
    <row r="24" spans="1:12">
      <c r="A24" s="368"/>
      <c r="B24" s="311" t="s">
        <v>100</v>
      </c>
      <c r="C24" s="286">
        <f>100*A2/28*0.25</f>
        <v>0</v>
      </c>
      <c r="D24" s="286">
        <f>100*A2/28*0.5</f>
        <v>0</v>
      </c>
      <c r="E24" s="286">
        <f>100*A2/28*0.75</f>
        <v>0</v>
      </c>
      <c r="F24" s="287">
        <f>100*A2/28*1</f>
        <v>0</v>
      </c>
      <c r="L24" s="277"/>
    </row>
    <row r="25" spans="1:12">
      <c r="A25" s="368"/>
      <c r="B25" s="303" t="s">
        <v>101</v>
      </c>
      <c r="C25" s="304">
        <f>(C23*500/100)+(C24*377/100)</f>
        <v>0</v>
      </c>
      <c r="D25" s="304">
        <f>(D23*500/100)+(D24*377/100)</f>
        <v>0</v>
      </c>
      <c r="E25" s="304">
        <f>(E23*500/100)+(E24*377/100)</f>
        <v>0</v>
      </c>
      <c r="F25" s="304">
        <f>(F23*500/100)+(F24*377/100)</f>
        <v>0</v>
      </c>
      <c r="L25" s="277"/>
    </row>
    <row r="26" spans="1:12" ht="15" thickBot="1">
      <c r="A26" s="369"/>
      <c r="B26" s="293" t="s">
        <v>26</v>
      </c>
      <c r="C26" s="301">
        <f>C24*11.2/100</f>
        <v>0</v>
      </c>
      <c r="D26" s="301">
        <f>D24*11.2/100</f>
        <v>0</v>
      </c>
      <c r="E26" s="301">
        <f>E24*11.2/100</f>
        <v>0</v>
      </c>
      <c r="F26" s="301">
        <f>F24*11.2/100</f>
        <v>0</v>
      </c>
      <c r="L26" s="277"/>
    </row>
    <row r="27" spans="1:12">
      <c r="A27" s="278"/>
      <c r="L27" s="277"/>
    </row>
    <row r="28" spans="1:12" ht="15" thickBot="1">
      <c r="A28" s="296"/>
      <c r="B28" s="265"/>
      <c r="C28" s="265"/>
      <c r="D28" s="265"/>
      <c r="E28" s="265"/>
      <c r="F28" s="265"/>
      <c r="G28" s="265"/>
      <c r="H28" s="265"/>
      <c r="I28" s="265"/>
      <c r="J28" s="265"/>
      <c r="K28" s="265"/>
      <c r="L28" s="266"/>
    </row>
    <row r="30" spans="1:12">
      <c r="A30" t="s">
        <v>117</v>
      </c>
    </row>
    <row r="31" spans="1:12" ht="8.25" customHeight="1">
      <c r="B31" s="385"/>
      <c r="C31" s="385"/>
      <c r="D31" s="385"/>
      <c r="E31" s="385"/>
      <c r="F31" s="385"/>
      <c r="G31" s="385"/>
      <c r="H31" s="385"/>
    </row>
    <row r="32" spans="1:12">
      <c r="A32" s="262" t="s">
        <v>120</v>
      </c>
    </row>
    <row r="33" spans="1:1">
      <c r="A33" s="297" t="s">
        <v>1</v>
      </c>
    </row>
  </sheetData>
  <sheetProtection algorithmName="SHA-512" hashValue="gu26g84x2YTtUZfpYA9ydfF0FWgBQqhk2QCoi8tC3bz6GmCLv+5jqb8ZyzEOxWQZmU/PriBoR3ilVWb4QZtVlw==" saltValue="dMfUVWTKKQACNkw89R3t2w==" spinCount="100000" sheet="1" objects="1" scenarios="1"/>
  <mergeCells count="9">
    <mergeCell ref="A21:A26"/>
    <mergeCell ref="B21:F21"/>
    <mergeCell ref="B31:H31"/>
    <mergeCell ref="D1:J2"/>
    <mergeCell ref="A1:B1"/>
    <mergeCell ref="A5:A10"/>
    <mergeCell ref="B5:L5"/>
    <mergeCell ref="A13:A18"/>
    <mergeCell ref="B13:I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F45DD173B39446A06691C5F6119885" ma:contentTypeVersion="13" ma:contentTypeDescription="Create a new document." ma:contentTypeScope="" ma:versionID="e1dd553a8cb825aac01f8bbeeb06ae58">
  <xsd:schema xmlns:xsd="http://www.w3.org/2001/XMLSchema" xmlns:xs="http://www.w3.org/2001/XMLSchema" xmlns:p="http://schemas.microsoft.com/office/2006/metadata/properties" xmlns:ns3="81159831-01ae-441a-9d8c-148830c87460" xmlns:ns4="fe9b7d59-9fff-4b80-b384-28b07c6a1f11" targetNamespace="http://schemas.microsoft.com/office/2006/metadata/properties" ma:root="true" ma:fieldsID="d0bdbff0fd916267c7e37ce68b4e7c3e" ns3:_="" ns4:_="">
    <xsd:import namespace="81159831-01ae-441a-9d8c-148830c87460"/>
    <xsd:import namespace="fe9b7d59-9fff-4b80-b384-28b07c6a1f1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59831-01ae-441a-9d8c-148830c874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b7d59-9fff-4b80-b384-28b07c6a1f1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A8A378-CAD0-40BE-AC16-E645F3553577}"/>
</file>

<file path=customXml/itemProps2.xml><?xml version="1.0" encoding="utf-8"?>
<ds:datastoreItem xmlns:ds="http://schemas.openxmlformats.org/officeDocument/2006/customXml" ds:itemID="{B2CB0E54-2519-4B23-AA03-B3F8D3016776}"/>
</file>

<file path=customXml/itemProps3.xml><?xml version="1.0" encoding="utf-8"?>
<ds:datastoreItem xmlns:ds="http://schemas.openxmlformats.org/officeDocument/2006/customXml" ds:itemID="{6AE1470B-49D4-45D1-9B73-9AB6B2DFF2CA}"/>
</file>

<file path=docProps/app.xml><?xml version="1.0" encoding="utf-8"?>
<Properties xmlns="http://schemas.openxmlformats.org/officeDocument/2006/extended-properties" xmlns:vt="http://schemas.openxmlformats.org/officeDocument/2006/docPropsVTypes">
  <Application>Microsoft Excel Online</Application>
  <Manager/>
  <Company>The Dannon Company,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Leuffgen Linda</dc:creator>
  <cp:keywords/>
  <dc:description/>
  <cp:lastModifiedBy>PRUDENTE Lloyd</cp:lastModifiedBy>
  <cp:revision/>
  <dcterms:created xsi:type="dcterms:W3CDTF">2015-03-31T16:54:07Z</dcterms:created>
  <dcterms:modified xsi:type="dcterms:W3CDTF">2023-02-17T03:39:37Z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0x0101006CF45DD173B39446A06691C5F6119885</vt:lpwstr>
  </property>
</Properties>
</file>