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none-my.sharepoint.com/personal/rachel_powers_danone_com/Documents/My Projects/Interactive Tool Updates &amp; Comparison Spreadsheets/FINAL Updated/PROTECTED Final Spreadsheets_PW Nutr14/"/>
    </mc:Choice>
  </mc:AlternateContent>
  <xr:revisionPtr revIDLastSave="11" documentId="8_{AD79F9BF-CD03-43EF-B632-BC916435076F}" xr6:coauthVersionLast="47" xr6:coauthVersionMax="47" xr10:uidLastSave="{A520BF3C-A3E2-4B90-9CFC-33C44E1A3138}"/>
  <bookViews>
    <workbookView xWindow="-110" yWindow="-110" windowWidth="19420" windowHeight="10560" tabRatio="832" xr2:uid="{00000000-000D-0000-FFFF-FFFF00000000}"/>
  </bookViews>
  <sheets>
    <sheet name="Home" sheetId="1" r:id="rId1"/>
    <sheet name="DRIs Periflex Early Yrs" sheetId="2" r:id="rId2"/>
    <sheet name="DRIs Periflex Jr+ PLAIN" sheetId="3" r:id="rId3"/>
    <sheet name="DRIs Periflex Jr+ FLAVORS" sheetId="13" r:id="rId4"/>
    <sheet name="Early Yrs to Periflex Jr+" sheetId="6" r:id="rId5"/>
    <sheet name="Early Yrs to PA GMP Drink Mix" sheetId="14" r:id="rId6"/>
    <sheet name="Early Yrs to PA GMP READY" sheetId="15" r:id="rId7"/>
    <sheet name="Abbott Phenex-1 to Early Yrs" sheetId="11" r:id="rId8"/>
    <sheet name="Abbott Phenex-1 to Periflex Jr+" sheetId="16" r:id="rId9"/>
    <sheet name="MJ Phenyl-Free1 to Early Yrs" sheetId="17" r:id="rId10"/>
    <sheet name="MJ Phenyl-Free1 to Periflex Jr+" sheetId="18" r:id="rId1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15" l="1"/>
  <c r="I10" i="15" s="1"/>
  <c r="H8" i="15"/>
  <c r="H10" i="15" s="1"/>
  <c r="I7" i="15"/>
  <c r="I9" i="15" s="1"/>
  <c r="H7" i="15"/>
  <c r="H9" i="15" s="1"/>
  <c r="I10" i="14"/>
  <c r="I9" i="14"/>
  <c r="I8" i="14"/>
  <c r="I7" i="14"/>
  <c r="I8" i="6"/>
  <c r="J8" i="6"/>
  <c r="J7" i="6"/>
  <c r="J9" i="6" s="1"/>
  <c r="I7" i="6"/>
  <c r="I9" i="6" s="1"/>
  <c r="F23" i="18"/>
  <c r="F25" i="18" s="1"/>
  <c r="E23" i="18"/>
  <c r="E25" i="18" s="1"/>
  <c r="D23" i="18"/>
  <c r="D25" i="18" s="1"/>
  <c r="C23" i="18"/>
  <c r="C25" i="18" s="1"/>
  <c r="I15" i="18"/>
  <c r="I17" i="18" s="1"/>
  <c r="H15" i="18"/>
  <c r="H17" i="18" s="1"/>
  <c r="G15" i="18"/>
  <c r="G17" i="18" s="1"/>
  <c r="F15" i="18"/>
  <c r="F17" i="18" s="1"/>
  <c r="E15" i="18"/>
  <c r="E17" i="18" s="1"/>
  <c r="D15" i="18"/>
  <c r="D17" i="18" s="1"/>
  <c r="C15" i="18"/>
  <c r="C17" i="18" s="1"/>
  <c r="L7" i="18"/>
  <c r="L9" i="18" s="1"/>
  <c r="K7" i="18"/>
  <c r="K9" i="18" s="1"/>
  <c r="J7" i="18"/>
  <c r="J9" i="18" s="1"/>
  <c r="I7" i="18"/>
  <c r="I9" i="18" s="1"/>
  <c r="H7" i="18"/>
  <c r="H9" i="18" s="1"/>
  <c r="G7" i="18"/>
  <c r="G9" i="18" s="1"/>
  <c r="F7" i="18"/>
  <c r="F9" i="18" s="1"/>
  <c r="E7" i="18"/>
  <c r="E9" i="18" s="1"/>
  <c r="D7" i="18"/>
  <c r="D9" i="18" s="1"/>
  <c r="C7" i="18"/>
  <c r="C9" i="18" s="1"/>
  <c r="F24" i="18"/>
  <c r="F26" i="18" s="1"/>
  <c r="E24" i="18"/>
  <c r="E26" i="18" s="1"/>
  <c r="D24" i="18"/>
  <c r="D26" i="18" s="1"/>
  <c r="C24" i="18"/>
  <c r="C26" i="18" s="1"/>
  <c r="I16" i="18"/>
  <c r="I18" i="18" s="1"/>
  <c r="H16" i="18"/>
  <c r="G16" i="18"/>
  <c r="G18" i="18" s="1"/>
  <c r="F16" i="18"/>
  <c r="F18" i="18" s="1"/>
  <c r="E16" i="18"/>
  <c r="E18" i="18" s="1"/>
  <c r="D16" i="18"/>
  <c r="C16" i="18"/>
  <c r="C18" i="18" s="1"/>
  <c r="L8" i="18"/>
  <c r="L10" i="18" s="1"/>
  <c r="K8" i="18"/>
  <c r="K10" i="18" s="1"/>
  <c r="J8" i="18"/>
  <c r="J10" i="18" s="1"/>
  <c r="I8" i="18"/>
  <c r="I10" i="18" s="1"/>
  <c r="H8" i="18"/>
  <c r="H10" i="18" s="1"/>
  <c r="G8" i="18"/>
  <c r="G10" i="18" s="1"/>
  <c r="F8" i="18"/>
  <c r="F10" i="18" s="1"/>
  <c r="E8" i="18"/>
  <c r="E10" i="18" s="1"/>
  <c r="D8" i="18"/>
  <c r="D10" i="18" s="1"/>
  <c r="C8" i="18"/>
  <c r="C10" i="18" s="1"/>
  <c r="F23" i="17"/>
  <c r="F25" i="17" s="1"/>
  <c r="E23" i="17"/>
  <c r="E25" i="17" s="1"/>
  <c r="D23" i="17"/>
  <c r="D25" i="17" s="1"/>
  <c r="C23" i="17"/>
  <c r="C25" i="17" s="1"/>
  <c r="I15" i="17"/>
  <c r="I17" i="17" s="1"/>
  <c r="H15" i="17"/>
  <c r="H17" i="17" s="1"/>
  <c r="G15" i="17"/>
  <c r="G17" i="17" s="1"/>
  <c r="F15" i="17"/>
  <c r="F17" i="17" s="1"/>
  <c r="E15" i="17"/>
  <c r="E17" i="17" s="1"/>
  <c r="D15" i="17"/>
  <c r="D17" i="17" s="1"/>
  <c r="C15" i="17"/>
  <c r="C17" i="17" s="1"/>
  <c r="L7" i="17"/>
  <c r="L9" i="17" s="1"/>
  <c r="K7" i="17"/>
  <c r="K9" i="17" s="1"/>
  <c r="J7" i="17"/>
  <c r="J9" i="17" s="1"/>
  <c r="I7" i="17"/>
  <c r="I9" i="17" s="1"/>
  <c r="H7" i="17"/>
  <c r="H9" i="17" s="1"/>
  <c r="G7" i="17"/>
  <c r="G9" i="17" s="1"/>
  <c r="F7" i="17"/>
  <c r="F9" i="17" s="1"/>
  <c r="E7" i="17"/>
  <c r="E9" i="17" s="1"/>
  <c r="D7" i="17"/>
  <c r="D9" i="17" s="1"/>
  <c r="C7" i="17"/>
  <c r="C9" i="17" s="1"/>
  <c r="F24" i="17"/>
  <c r="F26" i="17" s="1"/>
  <c r="E24" i="17"/>
  <c r="E26" i="17" s="1"/>
  <c r="D24" i="17"/>
  <c r="D26" i="17" s="1"/>
  <c r="C24" i="17"/>
  <c r="C26" i="17" s="1"/>
  <c r="I16" i="17"/>
  <c r="I18" i="17" s="1"/>
  <c r="H16" i="17"/>
  <c r="H18" i="17" s="1"/>
  <c r="G16" i="17"/>
  <c r="G18" i="17" s="1"/>
  <c r="F16" i="17"/>
  <c r="F18" i="17" s="1"/>
  <c r="E16" i="17"/>
  <c r="E18" i="17" s="1"/>
  <c r="D16" i="17"/>
  <c r="D18" i="17" s="1"/>
  <c r="C16" i="17"/>
  <c r="C18" i="17" s="1"/>
  <c r="L8" i="17"/>
  <c r="L10" i="17" s="1"/>
  <c r="K8" i="17"/>
  <c r="K10" i="17" s="1"/>
  <c r="J8" i="17"/>
  <c r="J10" i="17" s="1"/>
  <c r="I8" i="17"/>
  <c r="I10" i="17" s="1"/>
  <c r="H8" i="17"/>
  <c r="H10" i="17" s="1"/>
  <c r="G8" i="17"/>
  <c r="G10" i="17" s="1"/>
  <c r="F8" i="17"/>
  <c r="F10" i="17" s="1"/>
  <c r="E8" i="17"/>
  <c r="E10" i="17" s="1"/>
  <c r="D8" i="17"/>
  <c r="D10" i="17" s="1"/>
  <c r="C8" i="17"/>
  <c r="C10" i="17" s="1"/>
  <c r="F24" i="16"/>
  <c r="F26" i="16" s="1"/>
  <c r="E24" i="16"/>
  <c r="E26" i="16" s="1"/>
  <c r="D24" i="16"/>
  <c r="D26" i="16" s="1"/>
  <c r="C24" i="16"/>
  <c r="C26" i="16" s="1"/>
  <c r="I16" i="16"/>
  <c r="I18" i="16" s="1"/>
  <c r="H16" i="16"/>
  <c r="H18" i="16" s="1"/>
  <c r="G16" i="16"/>
  <c r="G18" i="16" s="1"/>
  <c r="F16" i="16"/>
  <c r="F18" i="16" s="1"/>
  <c r="E16" i="16"/>
  <c r="E18" i="16" s="1"/>
  <c r="D16" i="16"/>
  <c r="D18" i="16" s="1"/>
  <c r="C16" i="16"/>
  <c r="C18" i="16" s="1"/>
  <c r="L8" i="16"/>
  <c r="L10" i="16" s="1"/>
  <c r="K8" i="16"/>
  <c r="K10" i="16" s="1"/>
  <c r="J8" i="16"/>
  <c r="J10" i="16" s="1"/>
  <c r="I8" i="16"/>
  <c r="I10" i="16" s="1"/>
  <c r="H8" i="16"/>
  <c r="H10" i="16" s="1"/>
  <c r="G8" i="16"/>
  <c r="G10" i="16" s="1"/>
  <c r="F8" i="16"/>
  <c r="F10" i="16" s="1"/>
  <c r="E8" i="16"/>
  <c r="E10" i="16" s="1"/>
  <c r="D8" i="16"/>
  <c r="D10" i="16" s="1"/>
  <c r="C8" i="16"/>
  <c r="C10" i="16" s="1"/>
  <c r="F23" i="16"/>
  <c r="E23" i="16"/>
  <c r="E25" i="16" s="1"/>
  <c r="D23" i="16"/>
  <c r="C23" i="16"/>
  <c r="C25" i="16" s="1"/>
  <c r="I15" i="16"/>
  <c r="H15" i="16"/>
  <c r="G15" i="16"/>
  <c r="F15" i="16"/>
  <c r="F17" i="16" s="1"/>
  <c r="E15" i="16"/>
  <c r="D15" i="16"/>
  <c r="D17" i="16" s="1"/>
  <c r="C15" i="16"/>
  <c r="L7" i="16"/>
  <c r="L9" i="16" s="1"/>
  <c r="K7" i="16"/>
  <c r="J7" i="16"/>
  <c r="I7" i="16"/>
  <c r="H7" i="16"/>
  <c r="H9" i="16" s="1"/>
  <c r="G7" i="16"/>
  <c r="F7" i="16"/>
  <c r="F9" i="16" s="1"/>
  <c r="E7" i="16"/>
  <c r="E9" i="16" s="1"/>
  <c r="D7" i="16"/>
  <c r="D9" i="16" s="1"/>
  <c r="C7" i="16"/>
  <c r="H17" i="16" l="1"/>
  <c r="J9" i="16"/>
  <c r="D18" i="18"/>
  <c r="H18" i="18"/>
  <c r="I9" i="16"/>
  <c r="C9" i="16"/>
  <c r="G9" i="16"/>
  <c r="K9" i="16"/>
  <c r="E17" i="16"/>
  <c r="I17" i="16"/>
  <c r="F25" i="16"/>
  <c r="C17" i="16"/>
  <c r="G17" i="16"/>
  <c r="D25" i="16"/>
  <c r="C15" i="15"/>
  <c r="D15" i="15"/>
  <c r="E15" i="15"/>
  <c r="F15" i="15"/>
  <c r="G15" i="15"/>
  <c r="C16" i="15"/>
  <c r="D16" i="15"/>
  <c r="D18" i="15" s="1"/>
  <c r="E16" i="15"/>
  <c r="E18" i="15" s="1"/>
  <c r="F16" i="15"/>
  <c r="G16" i="15"/>
  <c r="K8" i="15"/>
  <c r="K10" i="15" s="1"/>
  <c r="J8" i="15"/>
  <c r="J10" i="15" s="1"/>
  <c r="G8" i="15"/>
  <c r="G10" i="15" s="1"/>
  <c r="F8" i="15"/>
  <c r="F10" i="15" s="1"/>
  <c r="E8" i="15"/>
  <c r="E10" i="15" s="1"/>
  <c r="D8" i="15"/>
  <c r="D10" i="15" s="1"/>
  <c r="L8" i="15"/>
  <c r="L10" i="15" s="1"/>
  <c r="C8" i="15"/>
  <c r="C10" i="15" s="1"/>
  <c r="L7" i="15"/>
  <c r="L9" i="15" s="1"/>
  <c r="K7" i="15"/>
  <c r="J7" i="15"/>
  <c r="G7" i="15"/>
  <c r="G9" i="15" s="1"/>
  <c r="F7" i="15"/>
  <c r="E7" i="15"/>
  <c r="D7" i="15"/>
  <c r="C7" i="15"/>
  <c r="C9" i="15" s="1"/>
  <c r="F24" i="14"/>
  <c r="F26" i="14" s="1"/>
  <c r="E24" i="14"/>
  <c r="E26" i="14" s="1"/>
  <c r="D24" i="14"/>
  <c r="D26" i="14" s="1"/>
  <c r="C24" i="14"/>
  <c r="C26" i="14" s="1"/>
  <c r="H16" i="14"/>
  <c r="H18" i="14" s="1"/>
  <c r="G16" i="14"/>
  <c r="G18" i="14" s="1"/>
  <c r="F16" i="14"/>
  <c r="F18" i="14" s="1"/>
  <c r="E16" i="14"/>
  <c r="E18" i="14" s="1"/>
  <c r="D16" i="14"/>
  <c r="D18" i="14" s="1"/>
  <c r="C16" i="14"/>
  <c r="C18" i="14" s="1"/>
  <c r="L8" i="14"/>
  <c r="L10" i="14" s="1"/>
  <c r="K8" i="14"/>
  <c r="K10" i="14" s="1"/>
  <c r="J8" i="14"/>
  <c r="J10" i="14" s="1"/>
  <c r="H8" i="14"/>
  <c r="H10" i="14" s="1"/>
  <c r="G8" i="14"/>
  <c r="G10" i="14" s="1"/>
  <c r="F8" i="14"/>
  <c r="F10" i="14" s="1"/>
  <c r="E8" i="14"/>
  <c r="E10" i="14" s="1"/>
  <c r="D8" i="14"/>
  <c r="D10" i="14" s="1"/>
  <c r="C8" i="14"/>
  <c r="C10" i="14" s="1"/>
  <c r="F23" i="14"/>
  <c r="E23" i="14"/>
  <c r="D23" i="14"/>
  <c r="C23" i="14"/>
  <c r="H15" i="14"/>
  <c r="G15" i="14"/>
  <c r="F15" i="14"/>
  <c r="E15" i="14"/>
  <c r="D15" i="14"/>
  <c r="C15" i="14"/>
  <c r="L7" i="14"/>
  <c r="K7" i="14"/>
  <c r="J7" i="14"/>
  <c r="H7" i="14"/>
  <c r="G7" i="14"/>
  <c r="F7" i="14"/>
  <c r="E7" i="14"/>
  <c r="D7" i="14"/>
  <c r="C7" i="14"/>
  <c r="H15" i="6"/>
  <c r="G15" i="6"/>
  <c r="F15" i="6"/>
  <c r="E15" i="6"/>
  <c r="D15" i="6"/>
  <c r="C15" i="6"/>
  <c r="H14" i="6"/>
  <c r="G14" i="6"/>
  <c r="F14" i="6"/>
  <c r="E14" i="6"/>
  <c r="D14" i="6"/>
  <c r="C14" i="6"/>
  <c r="B44" i="13"/>
  <c r="H44" i="13" s="1"/>
  <c r="B40" i="13"/>
  <c r="H40" i="13" s="1"/>
  <c r="B27" i="13"/>
  <c r="H27" i="13" s="1"/>
  <c r="B23" i="13"/>
  <c r="H23" i="13" s="1"/>
  <c r="B18" i="13"/>
  <c r="J18" i="13" s="1"/>
  <c r="B15" i="13"/>
  <c r="B11" i="13"/>
  <c r="B10" i="13"/>
  <c r="B9" i="13"/>
  <c r="B7" i="13"/>
  <c r="D7" i="13" s="1"/>
  <c r="B5" i="13"/>
  <c r="B4" i="13"/>
  <c r="B47" i="13" s="1"/>
  <c r="D9" i="15" l="1"/>
  <c r="J9" i="15"/>
  <c r="F7" i="13"/>
  <c r="D18" i="13"/>
  <c r="B31" i="13"/>
  <c r="H31" i="13" s="1"/>
  <c r="B6" i="13"/>
  <c r="H7" i="13"/>
  <c r="B14" i="13"/>
  <c r="H14" i="13" s="1"/>
  <c r="B19" i="13"/>
  <c r="H19" i="13" s="1"/>
  <c r="B36" i="13"/>
  <c r="H36" i="13" s="1"/>
  <c r="B13" i="13"/>
  <c r="D13" i="13" s="1"/>
  <c r="G17" i="15"/>
  <c r="C17" i="15"/>
  <c r="F17" i="15"/>
  <c r="F9" i="15"/>
  <c r="E17" i="15"/>
  <c r="D17" i="15"/>
  <c r="E9" i="15"/>
  <c r="K9" i="15"/>
  <c r="F18" i="15"/>
  <c r="C18" i="15"/>
  <c r="G18" i="15"/>
  <c r="H9" i="14"/>
  <c r="C17" i="14"/>
  <c r="G17" i="14"/>
  <c r="E25" i="14"/>
  <c r="D9" i="14"/>
  <c r="H17" i="14"/>
  <c r="E9" i="14"/>
  <c r="D17" i="14"/>
  <c r="J9" i="14"/>
  <c r="F25" i="14"/>
  <c r="C9" i="14"/>
  <c r="G9" i="14"/>
  <c r="L9" i="14"/>
  <c r="F17" i="14"/>
  <c r="D25" i="14"/>
  <c r="F9" i="14"/>
  <c r="K9" i="14"/>
  <c r="E17" i="14"/>
  <c r="C25" i="14"/>
  <c r="G16" i="6"/>
  <c r="E16" i="6"/>
  <c r="D16" i="6"/>
  <c r="H16" i="6"/>
  <c r="F16" i="6"/>
  <c r="C16" i="6"/>
  <c r="J13" i="13"/>
  <c r="J47" i="13"/>
  <c r="H47" i="13"/>
  <c r="D47" i="13"/>
  <c r="F47" i="13"/>
  <c r="F18" i="13"/>
  <c r="D19" i="13"/>
  <c r="B20" i="13"/>
  <c r="D23" i="13"/>
  <c r="B24" i="13"/>
  <c r="D27" i="13"/>
  <c r="B28" i="13"/>
  <c r="B32" i="13"/>
  <c r="D36" i="13"/>
  <c r="B37" i="13"/>
  <c r="D40" i="13"/>
  <c r="B41" i="13"/>
  <c r="D44" i="13"/>
  <c r="B45" i="13"/>
  <c r="J14" i="13"/>
  <c r="J19" i="13"/>
  <c r="J27" i="13"/>
  <c r="J40" i="13"/>
  <c r="J44" i="13"/>
  <c r="J7" i="13"/>
  <c r="F13" i="13"/>
  <c r="D14" i="13"/>
  <c r="B8" i="13"/>
  <c r="B12" i="13"/>
  <c r="H13" i="13"/>
  <c r="F14" i="13"/>
  <c r="B16" i="13"/>
  <c r="H18" i="13"/>
  <c r="B21" i="13"/>
  <c r="F23" i="13"/>
  <c r="B25" i="13"/>
  <c r="F27" i="13"/>
  <c r="B29" i="13"/>
  <c r="F31" i="13"/>
  <c r="B34" i="13"/>
  <c r="B38" i="13"/>
  <c r="F40" i="13"/>
  <c r="B42" i="13"/>
  <c r="F44" i="13"/>
  <c r="B46" i="13"/>
  <c r="J23" i="13"/>
  <c r="J36" i="13"/>
  <c r="B22" i="13"/>
  <c r="B26" i="13"/>
  <c r="B30" i="13"/>
  <c r="B35" i="13"/>
  <c r="B39" i="13"/>
  <c r="B43" i="13"/>
  <c r="D31" i="13" l="1"/>
  <c r="F36" i="13"/>
  <c r="F19" i="13"/>
  <c r="J31" i="13"/>
  <c r="D46" i="13"/>
  <c r="J46" i="13"/>
  <c r="H46" i="13"/>
  <c r="F46" i="13"/>
  <c r="D21" i="13"/>
  <c r="J21" i="13"/>
  <c r="F21" i="13"/>
  <c r="H21" i="13"/>
  <c r="J39" i="13"/>
  <c r="H39" i="13"/>
  <c r="F39" i="13"/>
  <c r="D39" i="13"/>
  <c r="J22" i="13"/>
  <c r="D22" i="13"/>
  <c r="H22" i="13"/>
  <c r="F22" i="13"/>
  <c r="F45" i="13"/>
  <c r="D45" i="13"/>
  <c r="H45" i="13"/>
  <c r="J45" i="13"/>
  <c r="F37" i="13"/>
  <c r="D37" i="13"/>
  <c r="J37" i="13"/>
  <c r="H37" i="13"/>
  <c r="F28" i="13"/>
  <c r="H28" i="13"/>
  <c r="D28" i="13"/>
  <c r="J28" i="13"/>
  <c r="F20" i="13"/>
  <c r="H20" i="13"/>
  <c r="D20" i="13"/>
  <c r="J20" i="13"/>
  <c r="J26" i="13"/>
  <c r="H26" i="13"/>
  <c r="D26" i="13"/>
  <c r="F26" i="13"/>
  <c r="D38" i="13"/>
  <c r="F38" i="13"/>
  <c r="J38" i="13"/>
  <c r="H38" i="13"/>
  <c r="D29" i="13"/>
  <c r="J29" i="13"/>
  <c r="H29" i="13"/>
  <c r="F29" i="13"/>
  <c r="J35" i="13"/>
  <c r="H35" i="13"/>
  <c r="D35" i="13"/>
  <c r="F35" i="13"/>
  <c r="D42" i="13"/>
  <c r="F42" i="13"/>
  <c r="J42" i="13"/>
  <c r="H42" i="13"/>
  <c r="D34" i="13"/>
  <c r="F34" i="13"/>
  <c r="J34" i="13"/>
  <c r="H34" i="13"/>
  <c r="D25" i="13"/>
  <c r="J25" i="13"/>
  <c r="H25" i="13"/>
  <c r="F25" i="13"/>
  <c r="J43" i="13"/>
  <c r="H43" i="13"/>
  <c r="D43" i="13"/>
  <c r="F43" i="13"/>
  <c r="J30" i="13"/>
  <c r="H30" i="13"/>
  <c r="D30" i="13"/>
  <c r="F30" i="13"/>
  <c r="F41" i="13"/>
  <c r="D41" i="13"/>
  <c r="J41" i="13"/>
  <c r="H41" i="13"/>
  <c r="F24" i="13"/>
  <c r="D24" i="13"/>
  <c r="H24" i="13"/>
  <c r="J24" i="13"/>
  <c r="B11" i="3" l="1"/>
  <c r="B10" i="3"/>
  <c r="B9" i="3"/>
  <c r="F23" i="11" l="1"/>
  <c r="E23" i="11"/>
  <c r="D23" i="11"/>
  <c r="C23" i="11"/>
  <c r="I15" i="11"/>
  <c r="H15" i="11"/>
  <c r="H17" i="11" s="1"/>
  <c r="G15" i="11"/>
  <c r="F15" i="11"/>
  <c r="E15" i="11"/>
  <c r="D15" i="11"/>
  <c r="C15" i="11"/>
  <c r="L7" i="11"/>
  <c r="K7" i="11"/>
  <c r="J7" i="11"/>
  <c r="J9" i="11" s="1"/>
  <c r="I7" i="11"/>
  <c r="H7" i="11"/>
  <c r="G7" i="11"/>
  <c r="F7" i="11"/>
  <c r="E7" i="11"/>
  <c r="D7" i="11"/>
  <c r="C7" i="11"/>
  <c r="C9" i="11" s="1"/>
  <c r="F24" i="11"/>
  <c r="F26" i="11" s="1"/>
  <c r="E24" i="11"/>
  <c r="E26" i="11" s="1"/>
  <c r="D24" i="11"/>
  <c r="D26" i="11" s="1"/>
  <c r="C24" i="11"/>
  <c r="C26" i="11" s="1"/>
  <c r="I16" i="11"/>
  <c r="I18" i="11" s="1"/>
  <c r="H16" i="11"/>
  <c r="H18" i="11" s="1"/>
  <c r="G16" i="11"/>
  <c r="G18" i="11" s="1"/>
  <c r="F16" i="11"/>
  <c r="F18" i="11" s="1"/>
  <c r="E16" i="11"/>
  <c r="E18" i="11" s="1"/>
  <c r="D16" i="11"/>
  <c r="D18" i="11" s="1"/>
  <c r="C16" i="11"/>
  <c r="C18" i="11" s="1"/>
  <c r="L8" i="11"/>
  <c r="L10" i="11" s="1"/>
  <c r="K8" i="11"/>
  <c r="K10" i="11" s="1"/>
  <c r="J8" i="11"/>
  <c r="J10" i="11" s="1"/>
  <c r="I8" i="11"/>
  <c r="I10" i="11" s="1"/>
  <c r="H8" i="11"/>
  <c r="H10" i="11" s="1"/>
  <c r="G8" i="11"/>
  <c r="G10" i="11" s="1"/>
  <c r="F8" i="11"/>
  <c r="F10" i="11" s="1"/>
  <c r="E8" i="11"/>
  <c r="E10" i="11" s="1"/>
  <c r="D8" i="11"/>
  <c r="D10" i="11" s="1"/>
  <c r="C8" i="11"/>
  <c r="C10" i="11" s="1"/>
  <c r="E25" i="11" l="1"/>
  <c r="F9" i="11"/>
  <c r="D17" i="11"/>
  <c r="G9" i="11"/>
  <c r="K9" i="11"/>
  <c r="E17" i="11"/>
  <c r="I17" i="11"/>
  <c r="F25" i="11"/>
  <c r="D9" i="11"/>
  <c r="H9" i="11"/>
  <c r="L9" i="11"/>
  <c r="F17" i="11"/>
  <c r="C25" i="11"/>
  <c r="E9" i="11"/>
  <c r="I9" i="11"/>
  <c r="C17" i="11"/>
  <c r="G17" i="11"/>
  <c r="D25" i="11"/>
  <c r="B4" i="2"/>
  <c r="B5" i="2" l="1"/>
  <c r="B22" i="2"/>
  <c r="H22" i="2" s="1"/>
  <c r="B13" i="2"/>
  <c r="B12" i="2"/>
  <c r="B26" i="2"/>
  <c r="H26" i="2" s="1"/>
  <c r="B6" i="2"/>
  <c r="B47" i="2"/>
  <c r="H47" i="2" s="1"/>
  <c r="B46" i="2"/>
  <c r="H46" i="2" s="1"/>
  <c r="B45" i="2"/>
  <c r="H45" i="2" s="1"/>
  <c r="B44" i="2"/>
  <c r="H44" i="2" s="1"/>
  <c r="B43" i="2"/>
  <c r="H43" i="2" s="1"/>
  <c r="B42" i="2"/>
  <c r="H42" i="2" s="1"/>
  <c r="B41" i="2"/>
  <c r="H41" i="2" s="1"/>
  <c r="B40" i="2"/>
  <c r="H40" i="2" s="1"/>
  <c r="B39" i="2"/>
  <c r="H39" i="2" s="1"/>
  <c r="B38" i="2"/>
  <c r="H38" i="2" s="1"/>
  <c r="B37" i="2"/>
  <c r="H37" i="2" s="1"/>
  <c r="B36" i="2"/>
  <c r="H36" i="2" s="1"/>
  <c r="B35" i="2"/>
  <c r="H35" i="2" s="1"/>
  <c r="B34" i="2"/>
  <c r="H34" i="2" s="1"/>
  <c r="B32" i="2"/>
  <c r="B31" i="2"/>
  <c r="H31" i="2" s="1"/>
  <c r="B30" i="2"/>
  <c r="H30" i="2" s="1"/>
  <c r="B29" i="2"/>
  <c r="H29" i="2" s="1"/>
  <c r="B28" i="2"/>
  <c r="H28" i="2" s="1"/>
  <c r="B27" i="2"/>
  <c r="H27" i="2" s="1"/>
  <c r="B25" i="2"/>
  <c r="H25" i="2" s="1"/>
  <c r="B24" i="2"/>
  <c r="H24" i="2" s="1"/>
  <c r="B23" i="2"/>
  <c r="H23" i="2" s="1"/>
  <c r="B21" i="2"/>
  <c r="H21" i="2" s="1"/>
  <c r="B20" i="2"/>
  <c r="H20" i="2" s="1"/>
  <c r="B19" i="2"/>
  <c r="H19" i="2" s="1"/>
  <c r="B18" i="2"/>
  <c r="H18" i="2" s="1"/>
  <c r="B16" i="2"/>
  <c r="H16" i="2" s="1"/>
  <c r="B15" i="2"/>
  <c r="H15" i="2" s="1"/>
  <c r="B14" i="2"/>
  <c r="H14" i="2" s="1"/>
  <c r="B11" i="2"/>
  <c r="B10" i="2"/>
  <c r="B9" i="2"/>
  <c r="B8" i="2"/>
  <c r="B7" i="2"/>
  <c r="H7" i="2" s="1"/>
  <c r="D7" i="2" l="1"/>
  <c r="F7" i="2" l="1"/>
  <c r="F45" i="2"/>
  <c r="D45" i="2"/>
  <c r="F41" i="2" l="1"/>
  <c r="D41" i="2"/>
  <c r="F22" i="2"/>
  <c r="D22" i="2"/>
  <c r="D31" i="2"/>
  <c r="F31" i="2"/>
  <c r="F35" i="2"/>
  <c r="D35" i="2"/>
  <c r="F20" i="2"/>
  <c r="D20" i="2"/>
  <c r="F36" i="2"/>
  <c r="D36" i="2"/>
  <c r="D14" i="2"/>
  <c r="F14" i="2"/>
  <c r="D23" i="2"/>
  <c r="F23" i="2"/>
  <c r="F37" i="2"/>
  <c r="D37" i="2"/>
  <c r="F18" i="2"/>
  <c r="D18" i="2"/>
  <c r="D46" i="2"/>
  <c r="F46" i="2"/>
  <c r="F47" i="2"/>
  <c r="D47" i="2"/>
  <c r="F15" i="2"/>
  <c r="D15" i="2"/>
  <c r="F29" i="2"/>
  <c r="D29" i="2"/>
  <c r="D19" i="2"/>
  <c r="F19" i="2"/>
  <c r="F30" i="2"/>
  <c r="D30" i="2"/>
  <c r="D38" i="2"/>
  <c r="F38" i="2"/>
  <c r="F43" i="2"/>
  <c r="D43" i="2"/>
  <c r="F28" i="2"/>
  <c r="D28" i="2"/>
  <c r="F44" i="2"/>
  <c r="D44" i="2"/>
  <c r="D25" i="2"/>
  <c r="F25" i="2"/>
  <c r="D42" i="2"/>
  <c r="F42" i="2"/>
  <c r="F26" i="2"/>
  <c r="D26" i="2"/>
  <c r="F8" i="2"/>
  <c r="D8" i="2"/>
  <c r="D34" i="2"/>
  <c r="F34" i="2"/>
  <c r="F39" i="2"/>
  <c r="D39" i="2"/>
  <c r="F24" i="2"/>
  <c r="D24" i="2"/>
  <c r="D40" i="2"/>
  <c r="F40" i="2"/>
  <c r="D21" i="2"/>
  <c r="F21" i="2"/>
  <c r="D27" i="2"/>
  <c r="F27" i="2"/>
  <c r="F21" i="6"/>
  <c r="E21" i="6"/>
  <c r="D21" i="6"/>
  <c r="C21" i="6"/>
  <c r="L7" i="6"/>
  <c r="K7" i="6"/>
  <c r="H7" i="6"/>
  <c r="G7" i="6"/>
  <c r="F7" i="6"/>
  <c r="E7" i="6"/>
  <c r="D7" i="6"/>
  <c r="C7" i="6"/>
  <c r="F22" i="6"/>
  <c r="E22" i="6"/>
  <c r="D22" i="6"/>
  <c r="C22" i="6"/>
  <c r="L8" i="6"/>
  <c r="K8" i="6"/>
  <c r="H8" i="6"/>
  <c r="G8" i="6"/>
  <c r="F8" i="6"/>
  <c r="E8" i="6"/>
  <c r="D8" i="6"/>
  <c r="C8" i="6"/>
  <c r="B7" i="3"/>
  <c r="F7" i="3" s="1"/>
  <c r="B4" i="3"/>
  <c r="B22" i="3" s="1"/>
  <c r="H9" i="6" l="1"/>
  <c r="D23" i="6"/>
  <c r="D9" i="6"/>
  <c r="E9" i="6"/>
  <c r="F9" i="6"/>
  <c r="K9" i="6"/>
  <c r="E23" i="6"/>
  <c r="C23" i="6"/>
  <c r="C9" i="6"/>
  <c r="G9" i="6"/>
  <c r="L9" i="6"/>
  <c r="F23" i="6"/>
  <c r="B35" i="3"/>
  <c r="H35" i="3" s="1"/>
  <c r="B5" i="3"/>
  <c r="H7" i="3"/>
  <c r="B46" i="3"/>
  <c r="F46" i="3" s="1"/>
  <c r="B26" i="3"/>
  <c r="H26" i="3" s="1"/>
  <c r="B41" i="3"/>
  <c r="D41" i="3" s="1"/>
  <c r="H22" i="3"/>
  <c r="B15" i="3"/>
  <c r="D7" i="3"/>
  <c r="B28" i="3"/>
  <c r="D28" i="3" s="1"/>
  <c r="B24" i="3"/>
  <c r="J24" i="3" s="1"/>
  <c r="B37" i="3"/>
  <c r="H37" i="3" s="1"/>
  <c r="B6" i="3"/>
  <c r="B8" i="3"/>
  <c r="B20" i="3"/>
  <c r="J20" i="3" s="1"/>
  <c r="B30" i="3"/>
  <c r="H30" i="3" s="1"/>
  <c r="B43" i="3"/>
  <c r="H43" i="3" s="1"/>
  <c r="B18" i="3"/>
  <c r="H18" i="3" s="1"/>
  <c r="B47" i="3"/>
  <c r="H47" i="3" s="1"/>
  <c r="B13" i="3"/>
  <c r="H13" i="3" s="1"/>
  <c r="B32" i="3"/>
  <c r="B39" i="3"/>
  <c r="H39" i="3" s="1"/>
  <c r="B45" i="3"/>
  <c r="J7" i="3"/>
  <c r="B14" i="3"/>
  <c r="B19" i="3"/>
  <c r="B23" i="3"/>
  <c r="B27" i="3"/>
  <c r="B31" i="3"/>
  <c r="B36" i="3"/>
  <c r="B40" i="3"/>
  <c r="B44" i="3"/>
  <c r="B12" i="3"/>
  <c r="B16" i="3"/>
  <c r="B21" i="3"/>
  <c r="B25" i="3"/>
  <c r="B29" i="3"/>
  <c r="B34" i="3"/>
  <c r="B38" i="3"/>
  <c r="B42" i="3"/>
  <c r="F35" i="3" l="1"/>
  <c r="D35" i="3"/>
  <c r="J35" i="3"/>
  <c r="H41" i="3"/>
  <c r="H46" i="3"/>
  <c r="J46" i="3"/>
  <c r="F22" i="3"/>
  <c r="H24" i="3"/>
  <c r="D22" i="3"/>
  <c r="D46" i="3"/>
  <c r="J18" i="3"/>
  <c r="J41" i="3"/>
  <c r="F13" i="3"/>
  <c r="H28" i="3"/>
  <c r="F41" i="3"/>
  <c r="J28" i="3"/>
  <c r="F28" i="3"/>
  <c r="F43" i="3"/>
  <c r="D43" i="3"/>
  <c r="J13" i="3"/>
  <c r="J22" i="3"/>
  <c r="F39" i="3"/>
  <c r="J30" i="3"/>
  <c r="J37" i="3"/>
  <c r="H20" i="3"/>
  <c r="F47" i="3"/>
  <c r="D39" i="3"/>
  <c r="D47" i="3"/>
  <c r="J47" i="3"/>
  <c r="J39" i="3"/>
  <c r="F30" i="3"/>
  <c r="D30" i="3"/>
  <c r="D24" i="3"/>
  <c r="F24" i="3"/>
  <c r="D18" i="3"/>
  <c r="D45" i="3"/>
  <c r="F45" i="3"/>
  <c r="H45" i="3"/>
  <c r="J43" i="3"/>
  <c r="J26" i="3"/>
  <c r="J45" i="3"/>
  <c r="F26" i="3"/>
  <c r="F18" i="3"/>
  <c r="D26" i="3"/>
  <c r="D13" i="3"/>
  <c r="D20" i="3"/>
  <c r="F20" i="3"/>
  <c r="D37" i="3"/>
  <c r="F37" i="3"/>
  <c r="J42" i="3"/>
  <c r="H42" i="3"/>
  <c r="F42" i="3"/>
  <c r="D42" i="3"/>
  <c r="F40" i="3"/>
  <c r="D40" i="3"/>
  <c r="J40" i="3"/>
  <c r="H40" i="3"/>
  <c r="F27" i="3"/>
  <c r="D27" i="3"/>
  <c r="J27" i="3"/>
  <c r="H27" i="3"/>
  <c r="F14" i="3"/>
  <c r="D14" i="3"/>
  <c r="J14" i="3"/>
  <c r="H14" i="3"/>
  <c r="J38" i="3"/>
  <c r="H38" i="3"/>
  <c r="F38" i="3"/>
  <c r="D38" i="3"/>
  <c r="J21" i="3"/>
  <c r="H21" i="3"/>
  <c r="F21" i="3"/>
  <c r="D21" i="3"/>
  <c r="F44" i="3"/>
  <c r="D44" i="3"/>
  <c r="J44" i="3"/>
  <c r="H44" i="3"/>
  <c r="F31" i="3"/>
  <c r="D31" i="3"/>
  <c r="J31" i="3"/>
  <c r="H31" i="3"/>
  <c r="J34" i="3"/>
  <c r="H34" i="3"/>
  <c r="F34" i="3"/>
  <c r="D34" i="3"/>
  <c r="F19" i="3"/>
  <c r="D19" i="3"/>
  <c r="J19" i="3"/>
  <c r="H19" i="3"/>
  <c r="J25" i="3"/>
  <c r="H25" i="3"/>
  <c r="F25" i="3"/>
  <c r="D25" i="3"/>
  <c r="J29" i="3"/>
  <c r="H29" i="3"/>
  <c r="F29" i="3"/>
  <c r="D29" i="3"/>
  <c r="F36" i="3"/>
  <c r="D36" i="3"/>
  <c r="J36" i="3"/>
  <c r="H36" i="3"/>
  <c r="F23" i="3"/>
  <c r="D23" i="3"/>
  <c r="J23" i="3"/>
  <c r="H23" i="3"/>
</calcChain>
</file>

<file path=xl/sharedStrings.xml><?xml version="1.0" encoding="utf-8"?>
<sst xmlns="http://schemas.openxmlformats.org/spreadsheetml/2006/main" count="548" uniqueCount="140">
  <si>
    <t>Phenex®-1 is a registered trademark of Abbott Laboratories Inc. and is not affiliated with Nutricia North America.</t>
  </si>
  <si>
    <t>Phenyl-Free® 1 is a registered trademark of Mead Johnson &amp; Company, LLC and is not affiliated with Nutricia North America.</t>
  </si>
  <si>
    <t>Patient's Name:</t>
  </si>
  <si>
    <r>
      <rPr>
        <b/>
        <sz val="11"/>
        <rFont val="Calibri"/>
        <family val="2"/>
        <scheme val="minor"/>
      </rPr>
      <t>Enter the grams of</t>
    </r>
    <r>
      <rPr>
        <b/>
        <sz val="10"/>
        <rFont val="Calibri"/>
        <family val="2"/>
        <scheme val="minor"/>
      </rPr>
      <t xml:space="preserve"> </t>
    </r>
    <r>
      <rPr>
        <b/>
        <sz val="12"/>
        <color rgb="FF00B050"/>
        <rFont val="Calibri"/>
        <family val="2"/>
        <scheme val="minor"/>
      </rPr>
      <t>Protein Equivalents</t>
    </r>
    <r>
      <rPr>
        <b/>
        <sz val="10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needed in the yellow box (cell B3) and press Enter.</t>
    </r>
  </si>
  <si>
    <r>
      <rPr>
        <b/>
        <sz val="18"/>
        <rFont val="Calibri"/>
        <family val="2"/>
        <scheme val="minor"/>
      </rPr>
      <t>PKU Periflex® Early Years DRI Calculator</t>
    </r>
    <r>
      <rPr>
        <b/>
        <sz val="16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>For Healthcare Professionals</t>
    </r>
  </si>
  <si>
    <t>DRI 
0-6 months</t>
  </si>
  <si>
    <t>% DRI 
0-6 months</t>
  </si>
  <si>
    <t>DRI 
7-12 months</t>
  </si>
  <si>
    <t>% DRI 
7-12 months</t>
  </si>
  <si>
    <t>DRI 1-3 years</t>
  </si>
  <si>
    <t>% DRI 
1-3 years</t>
  </si>
  <si>
    <t>Product, g</t>
  </si>
  <si>
    <r>
      <t xml:space="preserve">     </t>
    </r>
    <r>
      <rPr>
        <sz val="11"/>
        <color rgb="FF000000"/>
        <rFont val="Calibri"/>
        <family val="2"/>
        <scheme val="minor"/>
      </rPr>
      <t xml:space="preserve"> Scoops (5 g each)</t>
    </r>
  </si>
  <si>
    <t>Calories</t>
  </si>
  <si>
    <t>Protein Equivalent, g</t>
  </si>
  <si>
    <t>Fat, g</t>
  </si>
  <si>
    <t>N/A</t>
  </si>
  <si>
    <t xml:space="preserve">  Saturated Fat, g</t>
  </si>
  <si>
    <t xml:space="preserve">  Monounsaturated Fat, g</t>
  </si>
  <si>
    <t xml:space="preserve">  Polyunsaturated Fat, g</t>
  </si>
  <si>
    <t xml:space="preserve">       DHA, mg</t>
  </si>
  <si>
    <t xml:space="preserve">       ARA, mg</t>
  </si>
  <si>
    <t xml:space="preserve">       Linoleic Acid, mg</t>
  </si>
  <si>
    <t>Carbohydrate, g</t>
  </si>
  <si>
    <t xml:space="preserve">  Fiber, g</t>
  </si>
  <si>
    <t>VITAMINS</t>
  </si>
  <si>
    <t>Vit A, mcg</t>
  </si>
  <si>
    <t>Vit D, mcg</t>
  </si>
  <si>
    <t>Vit E, mg</t>
  </si>
  <si>
    <t>Vit K, mcg</t>
  </si>
  <si>
    <t>Thiamin, mg</t>
  </si>
  <si>
    <t>Riboflavin, mg</t>
  </si>
  <si>
    <t>Vit B6, mg</t>
  </si>
  <si>
    <t>Vit B12, mcg</t>
  </si>
  <si>
    <t>Niacin, mg</t>
  </si>
  <si>
    <t>Folic Acid, mcg</t>
  </si>
  <si>
    <t>Pantothenic Acid, mg</t>
  </si>
  <si>
    <t>Biotin, mcg</t>
  </si>
  <si>
    <t>Vit C, mg</t>
  </si>
  <si>
    <t>Choline, mg</t>
  </si>
  <si>
    <t>Inositol, mg</t>
  </si>
  <si>
    <t>MINERALS</t>
  </si>
  <si>
    <t>Calcium, mg</t>
  </si>
  <si>
    <t>Phosphorus, mg</t>
  </si>
  <si>
    <t>Magnesium, mg</t>
  </si>
  <si>
    <t>Iron, mg</t>
  </si>
  <si>
    <t>Zinc, mg</t>
  </si>
  <si>
    <t>Manganese, mg</t>
  </si>
  <si>
    <t>Copper, mcg</t>
  </si>
  <si>
    <t>Iodine, mcg</t>
  </si>
  <si>
    <t>Molybdenum, mcg</t>
  </si>
  <si>
    <t>Chromium, mcg</t>
  </si>
  <si>
    <t>Selenium, mcg</t>
  </si>
  <si>
    <t>Sodium, mg</t>
  </si>
  <si>
    <t>Potassium, mg</t>
  </si>
  <si>
    <t>Chloride, mg</t>
  </si>
  <si>
    <r>
      <rPr>
        <sz val="11"/>
        <color indexed="8"/>
        <rFont val="Calibri"/>
        <family val="2"/>
      </rPr>
      <t xml:space="preserve">DRI values presented here are adapted from the </t>
    </r>
    <r>
      <rPr>
        <i/>
        <sz val="11"/>
        <color indexed="8"/>
        <rFont val="Calibri"/>
        <family val="2"/>
      </rPr>
      <t>Dietary Reference Intakes</t>
    </r>
    <r>
      <rPr>
        <sz val="11"/>
        <color indexed="8"/>
        <rFont val="Calibri"/>
        <family val="2"/>
      </rPr>
      <t xml:space="preserve"> series, by the National Academies of Sciences of the Institute of Medicine. </t>
    </r>
  </si>
  <si>
    <r>
      <t xml:space="preserve">Recommended Dietary Allowances (RDAs) are values shown in </t>
    </r>
    <r>
      <rPr>
        <b/>
        <i/>
        <sz val="11"/>
        <color indexed="8"/>
        <rFont val="Calibri"/>
        <family val="2"/>
      </rPr>
      <t>bold, italicized type</t>
    </r>
    <r>
      <rPr>
        <sz val="11"/>
        <color indexed="8"/>
        <rFont val="Calibri"/>
        <family val="2"/>
      </rPr>
      <t xml:space="preserve"> and Adequate Intakes (AIs) are values shown in</t>
    </r>
    <r>
      <rPr>
        <i/>
        <sz val="11"/>
        <color indexed="8"/>
        <rFont val="Calibri"/>
        <family val="2"/>
      </rPr>
      <t xml:space="preserve"> italicized type</t>
    </r>
    <r>
      <rPr>
        <sz val="11"/>
        <color indexed="8"/>
        <rFont val="Calibri"/>
        <family val="2"/>
      </rPr>
      <t>.</t>
    </r>
  </si>
  <si>
    <t>Protein equivalent RDAs are based on g protein per kg body weight using reference body weights.</t>
  </si>
  <si>
    <t xml:space="preserve"> </t>
  </si>
  <si>
    <r>
      <rPr>
        <b/>
        <sz val="20"/>
        <rFont val="Calibri"/>
        <family val="2"/>
        <scheme val="minor"/>
      </rPr>
      <t>PKU Periflex® Junior Plus DRI Calculator</t>
    </r>
    <r>
      <rPr>
        <sz val="14"/>
        <rFont val="Calibri"/>
        <family val="2"/>
        <scheme val="minor"/>
      </rPr>
      <t xml:space="preserve">
For Healthcare Professionals 
</t>
    </r>
    <r>
      <rPr>
        <b/>
        <sz val="16"/>
        <color rgb="FFFF0000"/>
        <rFont val="Calibri"/>
        <family val="2"/>
        <scheme val="minor"/>
      </rPr>
      <t>Plain Flavor</t>
    </r>
  </si>
  <si>
    <t>DRI 
1-3 years</t>
  </si>
  <si>
    <t>DRI 
4-8 years</t>
  </si>
  <si>
    <t>% DRI 
4-8 years</t>
  </si>
  <si>
    <t>DRI 
9-13 years
(M)</t>
  </si>
  <si>
    <t>% DRI 
9-13 years 
(M)</t>
  </si>
  <si>
    <t>DRI 
9-13 years 
(F)</t>
  </si>
  <si>
    <t>% DRI 
9-13 years 
(F)</t>
  </si>
  <si>
    <t xml:space="preserve">   Scoops (9 g each)</t>
  </si>
  <si>
    <t xml:space="preserve">Calories </t>
  </si>
  <si>
    <t xml:space="preserve">   Saturated Fat, g</t>
  </si>
  <si>
    <t xml:space="preserve">   Monounsaturated Fat, g</t>
  </si>
  <si>
    <t xml:space="preserve">   Polyunsaturated Fat, g</t>
  </si>
  <si>
    <t xml:space="preserve">      DHA, mg</t>
  </si>
  <si>
    <t xml:space="preserve">   Fiber, g</t>
  </si>
  <si>
    <t xml:space="preserve">      Soluble, g</t>
  </si>
  <si>
    <t xml:space="preserve">      Insoluble, g</t>
  </si>
  <si>
    <t xml:space="preserve">MINERALS </t>
  </si>
  <si>
    <r>
      <rPr>
        <b/>
        <sz val="20"/>
        <rFont val="Calibri"/>
        <family val="2"/>
        <scheme val="minor"/>
      </rPr>
      <t>PKU Periflex® Junior Plus DRI Calculator</t>
    </r>
    <r>
      <rPr>
        <sz val="14"/>
        <rFont val="Calibri"/>
        <family val="2"/>
        <scheme val="minor"/>
      </rPr>
      <t xml:space="preserve">
For Healthcare Professionals 
</t>
    </r>
    <r>
      <rPr>
        <b/>
        <sz val="16"/>
        <color rgb="FFFF0000"/>
        <rFont val="Calibri"/>
        <family val="2"/>
        <scheme val="minor"/>
      </rPr>
      <t>Vanilla, Berry, and Orange Flavor</t>
    </r>
  </si>
  <si>
    <r>
      <t xml:space="preserve">Type the grams of </t>
    </r>
    <r>
      <rPr>
        <b/>
        <sz val="11"/>
        <color indexed="17"/>
        <rFont val="Arial"/>
        <family val="2"/>
      </rPr>
      <t>Protein Equivalents</t>
    </r>
    <r>
      <rPr>
        <b/>
        <sz val="11"/>
        <rFont val="Arial"/>
        <family val="2"/>
      </rPr>
      <t xml:space="preserve"> needed in the YELLOW box (cell A2) and press Enter.</t>
    </r>
  </si>
  <si>
    <r>
      <rPr>
        <sz val="16"/>
        <color theme="1"/>
        <rFont val="Arial Rounded MT Bold"/>
        <family val="2"/>
      </rPr>
      <t>Step-by-Step Transition from
PKU Periflex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Early Years to 
PKU Periflex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Junior Plus!</t>
    </r>
  </si>
  <si>
    <t>10 Step
Transition Guide</t>
  </si>
  <si>
    <t>10 Step Transition</t>
  </si>
  <si>
    <t>Step 1</t>
  </si>
  <si>
    <t>Step 2</t>
  </si>
  <si>
    <t>Step 3</t>
  </si>
  <si>
    <t>Step 4</t>
  </si>
  <si>
    <t>Step 5</t>
  </si>
  <si>
    <t>Step 6</t>
  </si>
  <si>
    <t>Step 8</t>
  </si>
  <si>
    <t>Step 9</t>
  </si>
  <si>
    <t>Step 10</t>
  </si>
  <si>
    <t>Periflex Early Years, g</t>
  </si>
  <si>
    <t>Periflex Junior Plus, g</t>
  </si>
  <si>
    <t>Total Calories*</t>
  </si>
  <si>
    <t>6 Step 
Transition Guide</t>
  </si>
  <si>
    <t>6 Step Transition</t>
  </si>
  <si>
    <t>4 Step 
Transition Guide</t>
  </si>
  <si>
    <t>4 Step Transition</t>
  </si>
  <si>
    <t xml:space="preserve">  If transitioning to Periflex Junior Plus Plain, each step will have 1-3 fewer total calories for every 10 g PE.  </t>
  </si>
  <si>
    <r>
      <t>Step-by-Step Transition from
PKU Periflex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Early Years to 
PhenylAde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GMP Drink Mix!</t>
    </r>
  </si>
  <si>
    <t>PhenylAde GMP Drink Mix, g</t>
  </si>
  <si>
    <t>Total Calories</t>
  </si>
  <si>
    <t>Total Phenylalanine*, mg</t>
  </si>
  <si>
    <t>*PhenylAde GMP Drink Mix contains 15.3 mg phenylalanine per 10 g PE.</t>
  </si>
  <si>
    <r>
      <t>Step-by-Step Transition from
PKU Periflex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Early Years to 
PhenylAde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GMP READY</t>
    </r>
    <r>
      <rPr>
        <sz val="16"/>
        <color theme="1"/>
        <rFont val="Arial Rounded MT Bold"/>
        <family val="2"/>
      </rPr>
      <t>!</t>
    </r>
  </si>
  <si>
    <t>PhenylAde GMP READY, mL</t>
  </si>
  <si>
    <t>5 Step 
Transition Guide</t>
  </si>
  <si>
    <t>5 Step Transition</t>
  </si>
  <si>
    <t>*PhenylAde GMP READY contains 18 mg phenylalanine per 10 g PE carton.</t>
  </si>
  <si>
    <r>
      <t>Step-by-Step Transition 
from Abbott's Phenex</t>
    </r>
    <r>
      <rPr>
        <sz val="16"/>
        <color theme="1"/>
        <rFont val="Calibri"/>
        <family val="2"/>
      </rPr>
      <t>®</t>
    </r>
    <r>
      <rPr>
        <sz val="16"/>
        <color theme="1"/>
        <rFont val="Arial Rounded MT Bold"/>
        <family val="2"/>
      </rPr>
      <t>-1</t>
    </r>
    <r>
      <rPr>
        <sz val="16"/>
        <color indexed="8"/>
        <rFont val="Arial Rounded MT Bold"/>
        <family val="2"/>
      </rPr>
      <t xml:space="preserve"> to
Nutricia's PKU Periflex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Early Years</t>
    </r>
  </si>
  <si>
    <t>10 Step 
Transition Guide</t>
  </si>
  <si>
    <t>Step 7</t>
  </si>
  <si>
    <t>Phenex-1, g</t>
  </si>
  <si>
    <t>7 Step 
Transition Guide</t>
  </si>
  <si>
    <t>7 Step Transition</t>
  </si>
  <si>
    <r>
      <t>Step-by-Step Transition 
from Abbott's Phenex</t>
    </r>
    <r>
      <rPr>
        <sz val="16"/>
        <color theme="1"/>
        <rFont val="Calibri"/>
        <family val="2"/>
      </rPr>
      <t>®</t>
    </r>
    <r>
      <rPr>
        <sz val="16"/>
        <color theme="1"/>
        <rFont val="Arial Rounded MT Bold"/>
        <family val="2"/>
      </rPr>
      <t>-1</t>
    </r>
    <r>
      <rPr>
        <sz val="16"/>
        <color indexed="8"/>
        <rFont val="Arial Rounded MT Bold"/>
        <family val="2"/>
      </rPr>
      <t xml:space="preserve"> to
Nutricia's PKU Periflex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Junior Plus</t>
    </r>
  </si>
  <si>
    <t>*Total Calories calculated assuming Periflex Junior Plus contains 385 kcals/100 g (calorie content of Berry, Orange, and Vanilla flavor).</t>
  </si>
  <si>
    <t xml:space="preserve">  If transitioning to Periflex Junior Plus Plain (377 kcals/100 g), each step will have 1-3 fewer total calories for every 10 g PE.  </t>
  </si>
  <si>
    <r>
      <t>Step-by-Step Transition 
from Mead Johnson's Phenyl-Free</t>
    </r>
    <r>
      <rPr>
        <sz val="16"/>
        <color theme="1"/>
        <rFont val="Calibri"/>
        <family val="2"/>
      </rPr>
      <t xml:space="preserve">® </t>
    </r>
    <r>
      <rPr>
        <sz val="16"/>
        <color theme="1"/>
        <rFont val="Arial Rounded MT Bold"/>
        <family val="2"/>
      </rPr>
      <t>1</t>
    </r>
    <r>
      <rPr>
        <sz val="16"/>
        <color indexed="8"/>
        <rFont val="Arial Rounded MT Bold"/>
        <family val="2"/>
      </rPr>
      <t xml:space="preserve">
to Nutricia's PKU Periflex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Early Years</t>
    </r>
  </si>
  <si>
    <t>Phenyl-Free 1, g</t>
  </si>
  <si>
    <r>
      <t>Step-by-Step Transition 
from Mead Johnson's Phenyl-Free</t>
    </r>
    <r>
      <rPr>
        <vertAlign val="superscript"/>
        <sz val="16"/>
        <color theme="1"/>
        <rFont val="Arial Rounded MT Bold"/>
        <family val="2"/>
      </rPr>
      <t>®</t>
    </r>
    <r>
      <rPr>
        <sz val="16"/>
        <color theme="1"/>
        <rFont val="Arial Rounded MT Bold"/>
        <family val="2"/>
      </rPr>
      <t xml:space="preserve"> 1</t>
    </r>
    <r>
      <rPr>
        <sz val="16"/>
        <color indexed="8"/>
        <rFont val="Arial Rounded MT Bold"/>
        <family val="2"/>
      </rPr>
      <t xml:space="preserve">
to Nutricia's PKU Periflex</t>
    </r>
    <r>
      <rPr>
        <vertAlign val="superscript"/>
        <sz val="16"/>
        <color indexed="8"/>
        <rFont val="Arial Rounded MT Bold"/>
        <family val="2"/>
      </rPr>
      <t>®</t>
    </r>
    <r>
      <rPr>
        <sz val="16"/>
        <color indexed="8"/>
        <rFont val="Arial Rounded MT Bold"/>
        <family val="2"/>
      </rPr>
      <t xml:space="preserve"> Junior Plus</t>
    </r>
  </si>
  <si>
    <t>PKU Periflex® Early Years is a medical food in the U.S. and a specialized formula in Canada for the dietary management of phenylketonuria (PKU) and must be used under medical supervision.</t>
  </si>
  <si>
    <t>PKU Periflex® Junior Plus is a medical food in the U.S. and a specialized formula in Canada for the dietary management of phenylketonuria (PKU) in individuals over 1 year of age and must be used under medical supervision.</t>
  </si>
  <si>
    <t>©2023 Nutricia North America. All Rights Reserved.</t>
  </si>
  <si>
    <r>
      <rPr>
        <b/>
        <sz val="18"/>
        <color rgb="FF000000"/>
        <rFont val="Arial Rounded MT Bold"/>
        <family val="2"/>
      </rPr>
      <t>Welcome to the PKU Interactive Tool</t>
    </r>
    <r>
      <rPr>
        <sz val="12"/>
        <color indexed="8"/>
        <rFont val="Arial Rounded MT Bold"/>
        <family val="2"/>
      </rPr>
      <t xml:space="preserve">
</t>
    </r>
    <r>
      <rPr>
        <sz val="12"/>
        <color indexed="8"/>
        <rFont val="Calibri"/>
        <family val="2"/>
        <scheme val="minor"/>
      </rPr>
      <t xml:space="preserve">Our Medical Affairs team developed these worksheets to aid in transitioning your patients throughout the Nutricia product portfolio.
</t>
    </r>
    <r>
      <rPr>
        <i/>
        <sz val="12"/>
        <color indexed="8"/>
        <rFont val="Calibri"/>
        <family val="2"/>
        <scheme val="minor"/>
      </rPr>
      <t xml:space="preserve">
</t>
    </r>
    <r>
      <rPr>
        <i/>
        <sz val="12"/>
        <color indexed="36"/>
        <rFont val="Calibri"/>
        <family val="2"/>
        <scheme val="minor"/>
      </rPr>
      <t xml:space="preserve">Nutricia North America kindly requests that this calculator not be shared with anyone who is not a licensed or certified healthcare provider. </t>
    </r>
  </si>
  <si>
    <r>
      <rPr>
        <b/>
        <sz val="10"/>
        <color rgb="FFFF0000"/>
        <rFont val="Calibri"/>
        <family val="2"/>
        <scheme val="minor"/>
      </rPr>
      <t xml:space="preserve">For </t>
    </r>
    <r>
      <rPr>
        <b/>
        <u/>
        <sz val="10"/>
        <color rgb="FFFF0000"/>
        <rFont val="Calibri"/>
        <family val="2"/>
        <scheme val="minor"/>
      </rPr>
      <t>Plain flavor only</t>
    </r>
    <r>
      <rPr>
        <b/>
        <sz val="10"/>
        <color rgb="FFFF0000"/>
        <rFont val="Calibri"/>
        <family val="2"/>
        <scheme val="minor"/>
      </rPr>
      <t>. See next tab for other flavors.</t>
    </r>
    <r>
      <rPr>
        <sz val="9"/>
        <rFont val="Calibri"/>
        <family val="2"/>
        <scheme val="minor"/>
      </rPr>
      <t xml:space="preserve">
</t>
    </r>
    <r>
      <rPr>
        <sz val="8.5"/>
        <rFont val="Calibri"/>
        <family val="2"/>
        <scheme val="minor"/>
      </rPr>
      <t>©2023 Nutricia North America. All Rights Reserved.</t>
    </r>
  </si>
  <si>
    <t>PKU Periflex® Junior Plus is a medical food in the U.S. and a specialized formula in Canada for the dietary management of phenylketonuria (PKU) in children over 1 year of age and must be used under medical supervision.</t>
  </si>
  <si>
    <r>
      <rPr>
        <b/>
        <sz val="9"/>
        <color rgb="FFFF0000"/>
        <rFont val="Calibri"/>
        <family val="2"/>
        <scheme val="minor"/>
      </rPr>
      <t xml:space="preserve">For </t>
    </r>
    <r>
      <rPr>
        <b/>
        <u/>
        <sz val="9"/>
        <color rgb="FFFF0000"/>
        <rFont val="Calibri"/>
        <family val="2"/>
        <scheme val="minor"/>
      </rPr>
      <t>Vanilla, Berry, and Orange flavor only</t>
    </r>
    <r>
      <rPr>
        <b/>
        <sz val="9"/>
        <color rgb="FFFF0000"/>
        <rFont val="Calibri"/>
        <family val="2"/>
        <scheme val="minor"/>
      </rPr>
      <t>. See previous tab for Plain flavor.</t>
    </r>
    <r>
      <rPr>
        <sz val="9"/>
        <rFont val="Calibri"/>
        <family val="2"/>
        <scheme val="minor"/>
      </rPr>
      <t xml:space="preserve">
</t>
    </r>
    <r>
      <rPr>
        <sz val="8.5"/>
        <rFont val="Calibri"/>
        <family val="2"/>
        <scheme val="minor"/>
      </rPr>
      <t>©2023 Nutricia North America. All Rights Reserved.</t>
    </r>
  </si>
  <si>
    <t xml:space="preserve">*Total Calories calculated assuming Periflex Junior Plus contains 385 calories/100 g powder (calorie content of Berry, Orange, and Vanilla flavor). </t>
  </si>
  <si>
    <t>PKU Periflex® Early Years and PKU Periflex® Junior Plus are medical foods in the U.S. and specialized formulas in Canada for the dietary management of phenylketonuria (PKU) and must be used under medical supervision.</t>
  </si>
  <si>
    <t>PKU Periflex® Early Years and Phenylade® GMP Drink Mix are medical foods in the U.S. and specialized formulas in Canada for the dietary management of phenylketonuria (PKU) and must be used under medical supervision.</t>
  </si>
  <si>
    <t>PKU Periflex® Early Years and PhenylAde® GMP READY are medical foods in the U.S. and specialized formulas in Canada for the dietary management of phenylketonuria (PKU) and must be used under medical supervision.</t>
  </si>
  <si>
    <t>Phenex®-1 is a registered trademark of Abbott Laboratories Inc. and is not affiliated with Nutricia North America. https://abbottnutrition.com/phenex-1. Accessed February 2023.</t>
  </si>
  <si>
    <t>https://abbottnutrition.com/phenex-1. Accessed February 2023.</t>
  </si>
  <si>
    <t>https://medical.enfamil.ca/products/phenyl-free-1. Accessed February 2023.</t>
  </si>
  <si>
    <t>Phenyl-Free® 1 is a registered trademark of Mead Johnson &amp; Company, LLC and is not affiliated with Nutricia North America. https://medical.enfamil.ca/products/phenyl-free-1. Accessed February 2023.</t>
  </si>
  <si>
    <t>*Total Calories calculated assuming Periflex Junior Plus contains 385 kcals/100 g powder (calorie content of Berry, Orange, and Vanilla flavor).</t>
  </si>
  <si>
    <t xml:space="preserve">  If transitioning to Periflex Junior Plus Plain (377 kcals/100 g powder), each step will have 1-3 fewer total calories for every 10 g PE.  </t>
  </si>
  <si>
    <t>PKU Periflex® Early Years is a medical food in the U.S. and a specialized formula in Canada for the dietary management of phenylketonuria (PKU) in infants and young children. Must be used under medical supervision.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</si>
</sst>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sz val="8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2"/>
      <color theme="1"/>
      <name val="Arial Rounded MT Bold"/>
      <family val="2"/>
    </font>
    <font>
      <sz val="12"/>
      <color indexed="8"/>
      <name val="Arial Rounded MT Bold"/>
      <family val="2"/>
    </font>
    <font>
      <sz val="11"/>
      <color rgb="FF7030A0"/>
      <name val="Calibri"/>
      <family val="2"/>
      <scheme val="minor"/>
    </font>
    <font>
      <sz val="14"/>
      <color theme="1"/>
      <name val="Calibri"/>
      <family val="2"/>
      <scheme val="minor"/>
    </font>
    <font>
      <i/>
      <u/>
      <sz val="14"/>
      <color theme="1"/>
      <name val="Arial Rounded MT Bold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2"/>
      <color indexed="8"/>
      <name val="Calibri"/>
      <family val="2"/>
      <scheme val="minor"/>
    </font>
    <font>
      <i/>
      <sz val="12"/>
      <color indexed="36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indexed="17"/>
      <name val="Arial"/>
      <family val="2"/>
    </font>
    <font>
      <sz val="16"/>
      <color theme="1"/>
      <name val="Arial Rounded MT Bold"/>
      <family val="2"/>
    </font>
    <font>
      <vertAlign val="superscript"/>
      <sz val="16"/>
      <color indexed="8"/>
      <name val="Arial Rounded MT Bold"/>
      <family val="2"/>
    </font>
    <font>
      <sz val="16"/>
      <color indexed="8"/>
      <name val="Arial Rounded MT Bold"/>
      <family val="2"/>
    </font>
    <font>
      <sz val="11"/>
      <color theme="1"/>
      <name val="Arial Rounded MT Bold"/>
      <family val="2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u/>
      <sz val="9"/>
      <color rgb="FFFF0000"/>
      <name val="Calibri"/>
      <family val="2"/>
      <scheme val="minor"/>
    </font>
    <font>
      <sz val="8.5"/>
      <name val="Calibri"/>
      <family val="2"/>
      <scheme val="minor"/>
    </font>
    <font>
      <sz val="16"/>
      <color theme="1"/>
      <name val="Calibri"/>
      <family val="2"/>
    </font>
    <font>
      <vertAlign val="superscript"/>
      <sz val="16"/>
      <color theme="1"/>
      <name val="Arial Rounded MT Bold"/>
      <family val="2"/>
    </font>
    <font>
      <b/>
      <sz val="18"/>
      <color rgb="FF000000"/>
      <name val="Arial Rounded MT Bold"/>
      <family val="2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EFECF4"/>
        <bgColor indexed="64"/>
      </patternFill>
    </fill>
    <fill>
      <patternFill patternType="solid">
        <fgColor theme="9" tint="0.7999816888943144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5">
    <xf numFmtId="0" fontId="0" fillId="0" borderId="0" xfId="0"/>
    <xf numFmtId="0" fontId="6" fillId="3" borderId="8" xfId="0" applyFont="1" applyFill="1" applyBorder="1" applyAlignment="1" applyProtection="1">
      <alignment horizontal="center" vertical="center"/>
      <protection locked="0"/>
    </xf>
    <xf numFmtId="0" fontId="0" fillId="14" borderId="35" xfId="0" applyFill="1" applyBorder="1"/>
    <xf numFmtId="0" fontId="0" fillId="14" borderId="55" xfId="0" applyFill="1" applyBorder="1"/>
    <xf numFmtId="0" fontId="0" fillId="14" borderId="56" xfId="0" applyFill="1" applyBorder="1"/>
    <xf numFmtId="0" fontId="0" fillId="14" borderId="58" xfId="0" applyFill="1" applyBorder="1"/>
    <xf numFmtId="0" fontId="0" fillId="14" borderId="0" xfId="0" applyFill="1"/>
    <xf numFmtId="0" fontId="0" fillId="14" borderId="60" xfId="0" applyFill="1" applyBorder="1"/>
    <xf numFmtId="0" fontId="0" fillId="0" borderId="58" xfId="0" applyBorder="1"/>
    <xf numFmtId="0" fontId="0" fillId="0" borderId="60" xfId="0" applyBorder="1"/>
    <xf numFmtId="0" fontId="0" fillId="14" borderId="61" xfId="0" applyFill="1" applyBorder="1"/>
    <xf numFmtId="0" fontId="0" fillId="14" borderId="62" xfId="0" applyFill="1" applyBorder="1"/>
    <xf numFmtId="0" fontId="0" fillId="14" borderId="63" xfId="0" applyFill="1" applyBorder="1"/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horizontal="center" vertical="center"/>
      <protection locked="0"/>
    </xf>
    <xf numFmtId="0" fontId="0" fillId="24" borderId="54" xfId="0" applyFill="1" applyBorder="1"/>
    <xf numFmtId="0" fontId="0" fillId="24" borderId="51" xfId="0" applyFill="1" applyBorder="1"/>
    <xf numFmtId="0" fontId="11" fillId="24" borderId="54" xfId="0" applyFont="1" applyFill="1" applyBorder="1"/>
    <xf numFmtId="0" fontId="0" fillId="24" borderId="52" xfId="0" applyFill="1" applyBorder="1"/>
    <xf numFmtId="0" fontId="0" fillId="24" borderId="53" xfId="0" applyFill="1" applyBorder="1"/>
    <xf numFmtId="0" fontId="0" fillId="24" borderId="57" xfId="0" applyFill="1" applyBorder="1"/>
    <xf numFmtId="0" fontId="0" fillId="24" borderId="66" xfId="0" applyFill="1" applyBorder="1"/>
    <xf numFmtId="0" fontId="0" fillId="24" borderId="0" xfId="0" applyFill="1"/>
    <xf numFmtId="0" fontId="0" fillId="24" borderId="65" xfId="0" applyFill="1" applyBorder="1"/>
    <xf numFmtId="0" fontId="23" fillId="2" borderId="8" xfId="0" applyFont="1" applyFill="1" applyBorder="1" applyAlignment="1">
      <alignment horizontal="center" vertical="center" wrapText="1"/>
    </xf>
    <xf numFmtId="164" fontId="26" fillId="3" borderId="8" xfId="0" applyNumberFormat="1" applyFont="1" applyFill="1" applyBorder="1" applyAlignment="1" applyProtection="1">
      <alignment horizontal="center" vertical="center"/>
      <protection locked="0"/>
    </xf>
    <xf numFmtId="0" fontId="24" fillId="20" borderId="8" xfId="0" applyFont="1" applyFill="1" applyBorder="1" applyAlignment="1">
      <alignment horizontal="center" vertical="center" wrapText="1"/>
    </xf>
    <xf numFmtId="0" fontId="24" fillId="6" borderId="8" xfId="0" applyFont="1" applyFill="1" applyBorder="1" applyAlignment="1">
      <alignment horizontal="center" vertical="center" wrapText="1"/>
    </xf>
    <xf numFmtId="0" fontId="24" fillId="6" borderId="4" xfId="0" applyFont="1" applyFill="1" applyBorder="1" applyAlignment="1">
      <alignment horizontal="center" vertical="center" wrapText="1"/>
    </xf>
    <xf numFmtId="0" fontId="29" fillId="9" borderId="67" xfId="0" applyFont="1" applyFill="1" applyBorder="1" applyAlignment="1">
      <alignment horizontal="left"/>
    </xf>
    <xf numFmtId="164" fontId="30" fillId="9" borderId="68" xfId="0" applyNumberFormat="1" applyFont="1" applyFill="1" applyBorder="1"/>
    <xf numFmtId="0" fontId="31" fillId="9" borderId="68" xfId="0" applyFont="1" applyFill="1" applyBorder="1"/>
    <xf numFmtId="9" fontId="30" fillId="9" borderId="68" xfId="0" applyNumberFormat="1" applyFont="1" applyFill="1" applyBorder="1"/>
    <xf numFmtId="9" fontId="30" fillId="9" borderId="61" xfId="0" applyNumberFormat="1" applyFont="1" applyFill="1" applyBorder="1"/>
    <xf numFmtId="9" fontId="30" fillId="9" borderId="14" xfId="0" applyNumberFormat="1" applyFont="1" applyFill="1" applyBorder="1"/>
    <xf numFmtId="0" fontId="29" fillId="11" borderId="27" xfId="0" applyFont="1" applyFill="1" applyBorder="1" applyAlignment="1">
      <alignment horizontal="left"/>
    </xf>
    <xf numFmtId="164" fontId="30" fillId="11" borderId="19" xfId="0" applyNumberFormat="1" applyFont="1" applyFill="1" applyBorder="1"/>
    <xf numFmtId="0" fontId="31" fillId="11" borderId="19" xfId="0" applyFont="1" applyFill="1" applyBorder="1"/>
    <xf numFmtId="9" fontId="30" fillId="11" borderId="19" xfId="0" applyNumberFormat="1" applyFont="1" applyFill="1" applyBorder="1"/>
    <xf numFmtId="9" fontId="30" fillId="11" borderId="36" xfId="0" applyNumberFormat="1" applyFont="1" applyFill="1" applyBorder="1"/>
    <xf numFmtId="9" fontId="30" fillId="11" borderId="20" xfId="0" applyNumberFormat="1" applyFont="1" applyFill="1" applyBorder="1"/>
    <xf numFmtId="0" fontId="29" fillId="9" borderId="70" xfId="0" applyFont="1" applyFill="1" applyBorder="1" applyAlignment="1">
      <alignment horizontal="left"/>
    </xf>
    <xf numFmtId="164" fontId="30" fillId="9" borderId="71" xfId="0" applyNumberFormat="1" applyFont="1" applyFill="1" applyBorder="1"/>
    <xf numFmtId="0" fontId="31" fillId="9" borderId="71" xfId="0" applyFont="1" applyFill="1" applyBorder="1"/>
    <xf numFmtId="9" fontId="30" fillId="9" borderId="71" xfId="0" applyNumberFormat="1" applyFont="1" applyFill="1" applyBorder="1"/>
    <xf numFmtId="0" fontId="32" fillId="9" borderId="71" xfId="0" applyFont="1" applyFill="1" applyBorder="1"/>
    <xf numFmtId="9" fontId="30" fillId="11" borderId="74" xfId="0" applyNumberFormat="1" applyFont="1" applyFill="1" applyBorder="1"/>
    <xf numFmtId="0" fontId="29" fillId="9" borderId="27" xfId="0" applyFont="1" applyFill="1" applyBorder="1" applyAlignment="1">
      <alignment horizontal="left"/>
    </xf>
    <xf numFmtId="164" fontId="30" fillId="9" borderId="19" xfId="0" applyNumberFormat="1" applyFont="1" applyFill="1" applyBorder="1"/>
    <xf numFmtId="0" fontId="31" fillId="9" borderId="19" xfId="0" applyFont="1" applyFill="1" applyBorder="1"/>
    <xf numFmtId="9" fontId="30" fillId="9" borderId="19" xfId="0" applyNumberFormat="1" applyFont="1" applyFill="1" applyBorder="1"/>
    <xf numFmtId="9" fontId="30" fillId="9" borderId="74" xfId="0" applyNumberFormat="1" applyFont="1" applyFill="1" applyBorder="1"/>
    <xf numFmtId="9" fontId="30" fillId="9" borderId="20" xfId="0" applyNumberFormat="1" applyFont="1" applyFill="1" applyBorder="1"/>
    <xf numFmtId="164" fontId="30" fillId="0" borderId="19" xfId="0" applyNumberFormat="1" applyFont="1" applyBorder="1"/>
    <xf numFmtId="0" fontId="31" fillId="0" borderId="19" xfId="0" applyFont="1" applyBorder="1"/>
    <xf numFmtId="9" fontId="30" fillId="0" borderId="19" xfId="0" applyNumberFormat="1" applyFont="1" applyBorder="1"/>
    <xf numFmtId="9" fontId="30" fillId="0" borderId="74" xfId="0" applyNumberFormat="1" applyFont="1" applyBorder="1"/>
    <xf numFmtId="9" fontId="30" fillId="0" borderId="20" xfId="0" applyNumberFormat="1" applyFont="1" applyBorder="1"/>
    <xf numFmtId="0" fontId="29" fillId="13" borderId="27" xfId="0" applyFont="1" applyFill="1" applyBorder="1" applyAlignment="1">
      <alignment horizontal="left"/>
    </xf>
    <xf numFmtId="164" fontId="30" fillId="13" borderId="19" xfId="0" applyNumberFormat="1" applyFont="1" applyFill="1" applyBorder="1"/>
    <xf numFmtId="0" fontId="31" fillId="13" borderId="19" xfId="0" applyFont="1" applyFill="1" applyBorder="1"/>
    <xf numFmtId="9" fontId="30" fillId="13" borderId="19" xfId="0" applyNumberFormat="1" applyFont="1" applyFill="1" applyBorder="1"/>
    <xf numFmtId="9" fontId="30" fillId="13" borderId="74" xfId="0" applyNumberFormat="1" applyFont="1" applyFill="1" applyBorder="1"/>
    <xf numFmtId="9" fontId="30" fillId="13" borderId="20" xfId="0" applyNumberFormat="1" applyFont="1" applyFill="1" applyBorder="1"/>
    <xf numFmtId="164" fontId="30" fillId="22" borderId="19" xfId="0" applyNumberFormat="1" applyFont="1" applyFill="1" applyBorder="1"/>
    <xf numFmtId="0" fontId="31" fillId="22" borderId="19" xfId="0" applyFont="1" applyFill="1" applyBorder="1"/>
    <xf numFmtId="9" fontId="30" fillId="22" borderId="19" xfId="0" applyNumberFormat="1" applyFont="1" applyFill="1" applyBorder="1"/>
    <xf numFmtId="9" fontId="30" fillId="22" borderId="74" xfId="0" applyNumberFormat="1" applyFont="1" applyFill="1" applyBorder="1"/>
    <xf numFmtId="9" fontId="30" fillId="22" borderId="20" xfId="0" applyNumberFormat="1" applyFont="1" applyFill="1" applyBorder="1"/>
    <xf numFmtId="1" fontId="30" fillId="13" borderId="25" xfId="0" applyNumberFormat="1" applyFont="1" applyFill="1" applyBorder="1"/>
    <xf numFmtId="0" fontId="31" fillId="13" borderId="25" xfId="0" applyFont="1" applyFill="1" applyBorder="1"/>
    <xf numFmtId="9" fontId="30" fillId="13" borderId="25" xfId="0" applyNumberFormat="1" applyFont="1" applyFill="1" applyBorder="1"/>
    <xf numFmtId="9" fontId="30" fillId="13" borderId="55" xfId="0" applyNumberFormat="1" applyFont="1" applyFill="1" applyBorder="1"/>
    <xf numFmtId="0" fontId="29" fillId="21" borderId="19" xfId="0" applyFont="1" applyFill="1" applyBorder="1" applyAlignment="1">
      <alignment horizontal="left"/>
    </xf>
    <xf numFmtId="164" fontId="30" fillId="21" borderId="19" xfId="0" applyNumberFormat="1" applyFont="1" applyFill="1" applyBorder="1"/>
    <xf numFmtId="0" fontId="31" fillId="21" borderId="19" xfId="0" applyFont="1" applyFill="1" applyBorder="1"/>
    <xf numFmtId="9" fontId="30" fillId="21" borderId="19" xfId="0" applyNumberFormat="1" applyFont="1" applyFill="1" applyBorder="1"/>
    <xf numFmtId="9" fontId="30" fillId="21" borderId="20" xfId="0" applyNumberFormat="1" applyFont="1" applyFill="1" applyBorder="1"/>
    <xf numFmtId="164" fontId="30" fillId="14" borderId="25" xfId="0" applyNumberFormat="1" applyFont="1" applyFill="1" applyBorder="1"/>
    <xf numFmtId="0" fontId="31" fillId="14" borderId="25" xfId="0" applyFont="1" applyFill="1" applyBorder="1"/>
    <xf numFmtId="9" fontId="30" fillId="14" borderId="25" xfId="0" applyNumberFormat="1" applyFont="1" applyFill="1" applyBorder="1"/>
    <xf numFmtId="9" fontId="30" fillId="14" borderId="55" xfId="0" applyNumberFormat="1" applyFont="1" applyFill="1" applyBorder="1"/>
    <xf numFmtId="9" fontId="30" fillId="14" borderId="30" xfId="0" applyNumberFormat="1" applyFont="1" applyFill="1" applyBorder="1"/>
    <xf numFmtId="0" fontId="24" fillId="20" borderId="4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 wrapText="1"/>
    </xf>
    <xf numFmtId="9" fontId="30" fillId="9" borderId="62" xfId="0" applyNumberFormat="1" applyFont="1" applyFill="1" applyBorder="1"/>
    <xf numFmtId="2" fontId="30" fillId="9" borderId="19" xfId="0" applyNumberFormat="1" applyFont="1" applyFill="1" applyBorder="1"/>
    <xf numFmtId="2" fontId="30" fillId="11" borderId="19" xfId="0" applyNumberFormat="1" applyFont="1" applyFill="1" applyBorder="1"/>
    <xf numFmtId="0" fontId="29" fillId="9" borderId="72" xfId="0" applyFont="1" applyFill="1" applyBorder="1" applyAlignment="1">
      <alignment horizontal="left"/>
    </xf>
    <xf numFmtId="164" fontId="30" fillId="9" borderId="56" xfId="0" applyNumberFormat="1" applyFont="1" applyFill="1" applyBorder="1"/>
    <xf numFmtId="0" fontId="31" fillId="9" borderId="25" xfId="0" applyFont="1" applyFill="1" applyBorder="1" applyAlignment="1">
      <alignment horizontal="right"/>
    </xf>
    <xf numFmtId="0" fontId="30" fillId="9" borderId="25" xfId="0" applyFont="1" applyFill="1" applyBorder="1"/>
    <xf numFmtId="0" fontId="30" fillId="9" borderId="55" xfId="0" applyFont="1" applyFill="1" applyBorder="1"/>
    <xf numFmtId="0" fontId="30" fillId="9" borderId="30" xfId="0" applyFont="1" applyFill="1" applyBorder="1"/>
    <xf numFmtId="164" fontId="30" fillId="10" borderId="68" xfId="0" applyNumberFormat="1" applyFont="1" applyFill="1" applyBorder="1"/>
    <xf numFmtId="0" fontId="31" fillId="10" borderId="68" xfId="0" applyFont="1" applyFill="1" applyBorder="1"/>
    <xf numFmtId="9" fontId="30" fillId="10" borderId="68" xfId="0" applyNumberFormat="1" applyFont="1" applyFill="1" applyBorder="1"/>
    <xf numFmtId="9" fontId="30" fillId="10" borderId="62" xfId="0" applyNumberFormat="1" applyFont="1" applyFill="1" applyBorder="1"/>
    <xf numFmtId="9" fontId="30" fillId="10" borderId="14" xfId="0" applyNumberFormat="1" applyFont="1" applyFill="1" applyBorder="1"/>
    <xf numFmtId="164" fontId="30" fillId="10" borderId="19" xfId="0" applyNumberFormat="1" applyFont="1" applyFill="1" applyBorder="1"/>
    <xf numFmtId="0" fontId="31" fillId="10" borderId="19" xfId="0" applyFont="1" applyFill="1" applyBorder="1"/>
    <xf numFmtId="9" fontId="30" fillId="10" borderId="19" xfId="0" applyNumberFormat="1" applyFont="1" applyFill="1" applyBorder="1"/>
    <xf numFmtId="9" fontId="30" fillId="10" borderId="74" xfId="0" applyNumberFormat="1" applyFont="1" applyFill="1" applyBorder="1"/>
    <xf numFmtId="9" fontId="30" fillId="10" borderId="20" xfId="0" applyNumberFormat="1" applyFont="1" applyFill="1" applyBorder="1"/>
    <xf numFmtId="0" fontId="32" fillId="0" borderId="19" xfId="0" applyFont="1" applyBorder="1"/>
    <xf numFmtId="0" fontId="32" fillId="10" borderId="19" xfId="0" applyFont="1" applyFill="1" applyBorder="1"/>
    <xf numFmtId="2" fontId="30" fillId="0" borderId="19" xfId="0" applyNumberFormat="1" applyFont="1" applyBorder="1"/>
    <xf numFmtId="0" fontId="31" fillId="0" borderId="19" xfId="0" applyFont="1" applyBorder="1" applyAlignment="1">
      <alignment horizontal="right"/>
    </xf>
    <xf numFmtId="0" fontId="31" fillId="10" borderId="19" xfId="0" applyFont="1" applyFill="1" applyBorder="1" applyAlignment="1">
      <alignment horizontal="right"/>
    </xf>
    <xf numFmtId="0" fontId="29" fillId="11" borderId="28" xfId="0" applyFont="1" applyFill="1" applyBorder="1" applyAlignment="1">
      <alignment horizontal="left"/>
    </xf>
    <xf numFmtId="164" fontId="30" fillId="0" borderId="29" xfId="0" applyNumberFormat="1" applyFont="1" applyBorder="1"/>
    <xf numFmtId="0" fontId="31" fillId="0" borderId="29" xfId="0" applyFont="1" applyBorder="1" applyAlignment="1">
      <alignment horizontal="right"/>
    </xf>
    <xf numFmtId="9" fontId="30" fillId="0" borderId="29" xfId="0" applyNumberFormat="1" applyFont="1" applyBorder="1"/>
    <xf numFmtId="9" fontId="30" fillId="0" borderId="75" xfId="0" applyNumberFormat="1" applyFont="1" applyBorder="1"/>
    <xf numFmtId="9" fontId="30" fillId="0" borderId="30" xfId="0" applyNumberFormat="1" applyFont="1" applyBorder="1"/>
    <xf numFmtId="9" fontId="30" fillId="9" borderId="69" xfId="0" applyNumberFormat="1" applyFont="1" applyFill="1" applyBorder="1"/>
    <xf numFmtId="0" fontId="29" fillId="0" borderId="67" xfId="0" applyFont="1" applyBorder="1" applyAlignment="1">
      <alignment horizontal="left"/>
    </xf>
    <xf numFmtId="164" fontId="30" fillId="0" borderId="68" xfId="0" applyNumberFormat="1" applyFont="1" applyBorder="1"/>
    <xf numFmtId="0" fontId="31" fillId="0" borderId="68" xfId="0" applyFont="1" applyBorder="1"/>
    <xf numFmtId="9" fontId="30" fillId="0" borderId="68" xfId="0" applyNumberFormat="1" applyFont="1" applyBorder="1"/>
    <xf numFmtId="9" fontId="30" fillId="0" borderId="61" xfId="0" applyNumberFormat="1" applyFont="1" applyBorder="1"/>
    <xf numFmtId="9" fontId="30" fillId="0" borderId="14" xfId="0" applyNumberFormat="1" applyFont="1" applyBorder="1"/>
    <xf numFmtId="0" fontId="30" fillId="9" borderId="27" xfId="0" applyFont="1" applyFill="1" applyBorder="1" applyAlignment="1">
      <alignment horizontal="left"/>
    </xf>
    <xf numFmtId="0" fontId="30" fillId="0" borderId="27" xfId="0" applyFont="1" applyBorder="1" applyAlignment="1">
      <alignment horizontal="left"/>
    </xf>
    <xf numFmtId="0" fontId="30" fillId="13" borderId="27" xfId="0" applyFont="1" applyFill="1" applyBorder="1" applyAlignment="1">
      <alignment horizontal="left"/>
    </xf>
    <xf numFmtId="0" fontId="30" fillId="22" borderId="27" xfId="0" applyFont="1" applyFill="1" applyBorder="1" applyAlignment="1">
      <alignment horizontal="left"/>
    </xf>
    <xf numFmtId="0" fontId="30" fillId="13" borderId="72" xfId="0" applyFont="1" applyFill="1" applyBorder="1" applyAlignment="1">
      <alignment horizontal="left"/>
    </xf>
    <xf numFmtId="0" fontId="30" fillId="14" borderId="72" xfId="0" applyFont="1" applyFill="1" applyBorder="1" applyAlignment="1">
      <alignment horizontal="left"/>
    </xf>
    <xf numFmtId="164" fontId="31" fillId="9" borderId="68" xfId="0" applyNumberFormat="1" applyFont="1" applyFill="1" applyBorder="1"/>
    <xf numFmtId="164" fontId="31" fillId="11" borderId="19" xfId="0" applyNumberFormat="1" applyFont="1" applyFill="1" applyBorder="1"/>
    <xf numFmtId="164" fontId="31" fillId="9" borderId="19" xfId="0" applyNumberFormat="1" applyFont="1" applyFill="1" applyBorder="1"/>
    <xf numFmtId="164" fontId="31" fillId="9" borderId="25" xfId="0" applyNumberFormat="1" applyFont="1" applyFill="1" applyBorder="1"/>
    <xf numFmtId="164" fontId="31" fillId="0" borderId="68" xfId="0" applyNumberFormat="1" applyFont="1" applyBorder="1"/>
    <xf numFmtId="164" fontId="32" fillId="9" borderId="19" xfId="0" applyNumberFormat="1" applyFont="1" applyFill="1" applyBorder="1"/>
    <xf numFmtId="164" fontId="31" fillId="0" borderId="19" xfId="0" applyNumberFormat="1" applyFont="1" applyBorder="1"/>
    <xf numFmtId="164" fontId="31" fillId="13" borderId="19" xfId="0" applyNumberFormat="1" applyFont="1" applyFill="1" applyBorder="1"/>
    <xf numFmtId="164" fontId="31" fillId="22" borderId="19" xfId="0" applyNumberFormat="1" applyFont="1" applyFill="1" applyBorder="1"/>
    <xf numFmtId="9" fontId="30" fillId="9" borderId="0" xfId="0" applyNumberFormat="1" applyFont="1" applyFill="1"/>
    <xf numFmtId="1" fontId="32" fillId="21" borderId="19" xfId="0" applyNumberFormat="1" applyFont="1" applyFill="1" applyBorder="1"/>
    <xf numFmtId="1" fontId="31" fillId="13" borderId="19" xfId="0" applyNumberFormat="1" applyFont="1" applyFill="1" applyBorder="1"/>
    <xf numFmtId="1" fontId="32" fillId="9" borderId="19" xfId="0" applyNumberFormat="1" applyFont="1" applyFill="1" applyBorder="1"/>
    <xf numFmtId="1" fontId="32" fillId="9" borderId="68" xfId="0" applyNumberFormat="1" applyFont="1" applyFill="1" applyBorder="1"/>
    <xf numFmtId="164" fontId="32" fillId="11" borderId="19" xfId="0" applyNumberFormat="1" applyFont="1" applyFill="1" applyBorder="1"/>
    <xf numFmtId="1" fontId="32" fillId="11" borderId="19" xfId="0" applyNumberFormat="1" applyFont="1" applyFill="1" applyBorder="1"/>
    <xf numFmtId="1" fontId="31" fillId="11" borderId="19" xfId="0" applyNumberFormat="1" applyFont="1" applyFill="1" applyBorder="1"/>
    <xf numFmtId="1" fontId="31" fillId="9" borderId="19" xfId="0" applyNumberFormat="1" applyFont="1" applyFill="1" applyBorder="1"/>
    <xf numFmtId="1" fontId="31" fillId="0" borderId="19" xfId="0" applyNumberFormat="1" applyFont="1" applyBorder="1"/>
    <xf numFmtId="1" fontId="31" fillId="10" borderId="19" xfId="0" applyNumberFormat="1" applyFont="1" applyFill="1" applyBorder="1"/>
    <xf numFmtId="1" fontId="32" fillId="0" borderId="19" xfId="0" applyNumberFormat="1" applyFont="1" applyBorder="1"/>
    <xf numFmtId="1" fontId="32" fillId="10" borderId="19" xfId="0" applyNumberFormat="1" applyFont="1" applyFill="1" applyBorder="1"/>
    <xf numFmtId="1" fontId="31" fillId="0" borderId="29" xfId="0" applyNumberFormat="1" applyFont="1" applyBorder="1"/>
    <xf numFmtId="1" fontId="32" fillId="10" borderId="68" xfId="0" applyNumberFormat="1" applyFont="1" applyFill="1" applyBorder="1"/>
    <xf numFmtId="0" fontId="24" fillId="5" borderId="4" xfId="0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0" fontId="24" fillId="5" borderId="48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9" xfId="0" applyBorder="1"/>
    <xf numFmtId="9" fontId="0" fillId="12" borderId="25" xfId="0" applyNumberFormat="1" applyFill="1" applyBorder="1"/>
    <xf numFmtId="0" fontId="0" fillId="0" borderId="14" xfId="0" applyBorder="1"/>
    <xf numFmtId="0" fontId="0" fillId="0" borderId="20" xfId="0" applyBorder="1"/>
    <xf numFmtId="0" fontId="0" fillId="0" borderId="68" xfId="0" applyBorder="1"/>
    <xf numFmtId="0" fontId="0" fillId="0" borderId="69" xfId="0" applyBorder="1"/>
    <xf numFmtId="1" fontId="31" fillId="14" borderId="25" xfId="0" applyNumberFormat="1" applyFont="1" applyFill="1" applyBorder="1"/>
    <xf numFmtId="0" fontId="0" fillId="12" borderId="25" xfId="0" applyFill="1" applyBorder="1"/>
    <xf numFmtId="0" fontId="16" fillId="0" borderId="13" xfId="0" applyFont="1" applyBorder="1"/>
    <xf numFmtId="0" fontId="16" fillId="0" borderId="68" xfId="0" applyFont="1" applyBorder="1"/>
    <xf numFmtId="0" fontId="16" fillId="0" borderId="19" xfId="0" applyFont="1" applyBorder="1"/>
    <xf numFmtId="0" fontId="16" fillId="12" borderId="25" xfId="0" applyFont="1" applyFill="1" applyBorder="1"/>
    <xf numFmtId="0" fontId="16" fillId="12" borderId="19" xfId="0" applyFont="1" applyFill="1" applyBorder="1"/>
    <xf numFmtId="9" fontId="0" fillId="0" borderId="19" xfId="0" applyNumberFormat="1" applyBorder="1"/>
    <xf numFmtId="9" fontId="0" fillId="10" borderId="19" xfId="0" applyNumberFormat="1" applyFill="1" applyBorder="1"/>
    <xf numFmtId="0" fontId="0" fillId="10" borderId="29" xfId="0" applyFill="1" applyBorder="1"/>
    <xf numFmtId="9" fontId="0" fillId="0" borderId="20" xfId="0" applyNumberFormat="1" applyBorder="1"/>
    <xf numFmtId="9" fontId="0" fillId="10" borderId="20" xfId="0" applyNumberFormat="1" applyFill="1" applyBorder="1"/>
    <xf numFmtId="0" fontId="0" fillId="10" borderId="30" xfId="0" applyFill="1" applyBorder="1"/>
    <xf numFmtId="0" fontId="29" fillId="21" borderId="9" xfId="0" applyFont="1" applyFill="1" applyBorder="1" applyAlignment="1">
      <alignment horizontal="left"/>
    </xf>
    <xf numFmtId="164" fontId="30" fillId="21" borderId="10" xfId="0" applyNumberFormat="1" applyFont="1" applyFill="1" applyBorder="1"/>
    <xf numFmtId="0" fontId="31" fillId="0" borderId="11" xfId="0" applyFont="1" applyBorder="1"/>
    <xf numFmtId="10" fontId="30" fillId="0" borderId="11" xfId="0" applyNumberFormat="1" applyFont="1" applyBorder="1"/>
    <xf numFmtId="9" fontId="30" fillId="0" borderId="12" xfId="0" applyNumberFormat="1" applyFont="1" applyBorder="1"/>
    <xf numFmtId="0" fontId="30" fillId="9" borderId="31" xfId="0" applyFont="1" applyFill="1" applyBorder="1" applyAlignment="1">
      <alignment horizontal="left"/>
    </xf>
    <xf numFmtId="164" fontId="30" fillId="9" borderId="32" xfId="0" applyNumberFormat="1" applyFont="1" applyFill="1" applyBorder="1"/>
    <xf numFmtId="0" fontId="31" fillId="0" borderId="33" xfId="0" applyFont="1" applyBorder="1"/>
    <xf numFmtId="10" fontId="30" fillId="0" borderId="33" xfId="0" applyNumberFormat="1" applyFont="1" applyBorder="1"/>
    <xf numFmtId="9" fontId="30" fillId="0" borderId="34" xfId="0" applyNumberFormat="1" applyFont="1" applyBorder="1"/>
    <xf numFmtId="0" fontId="29" fillId="11" borderId="15" xfId="0" applyFont="1" applyFill="1" applyBorder="1" applyAlignment="1">
      <alignment horizontal="left"/>
    </xf>
    <xf numFmtId="164" fontId="30" fillId="11" borderId="16" xfId="0" applyNumberFormat="1" applyFont="1" applyFill="1" applyBorder="1"/>
    <xf numFmtId="0" fontId="31" fillId="11" borderId="17" xfId="0" applyFont="1" applyFill="1" applyBorder="1"/>
    <xf numFmtId="10" fontId="30" fillId="11" borderId="17" xfId="0" applyNumberFormat="1" applyFont="1" applyFill="1" applyBorder="1"/>
    <xf numFmtId="9" fontId="30" fillId="11" borderId="18" xfId="0" applyNumberFormat="1" applyFont="1" applyFill="1" applyBorder="1"/>
    <xf numFmtId="0" fontId="29" fillId="9" borderId="15" xfId="0" applyFont="1" applyFill="1" applyBorder="1" applyAlignment="1">
      <alignment horizontal="left"/>
    </xf>
    <xf numFmtId="164" fontId="30" fillId="9" borderId="16" xfId="0" applyNumberFormat="1" applyFont="1" applyFill="1" applyBorder="1"/>
    <xf numFmtId="0" fontId="32" fillId="9" borderId="17" xfId="0" applyFont="1" applyFill="1" applyBorder="1"/>
    <xf numFmtId="9" fontId="30" fillId="9" borderId="17" xfId="0" applyNumberFormat="1" applyFont="1" applyFill="1" applyBorder="1"/>
    <xf numFmtId="9" fontId="30" fillId="9" borderId="18" xfId="0" applyNumberFormat="1" applyFont="1" applyFill="1" applyBorder="1"/>
    <xf numFmtId="0" fontId="38" fillId="10" borderId="19" xfId="0" applyFont="1" applyFill="1" applyBorder="1"/>
    <xf numFmtId="9" fontId="14" fillId="10" borderId="19" xfId="0" applyNumberFormat="1" applyFont="1" applyFill="1" applyBorder="1"/>
    <xf numFmtId="9" fontId="14" fillId="10" borderId="20" xfId="0" applyNumberFormat="1" applyFont="1" applyFill="1" applyBorder="1"/>
    <xf numFmtId="0" fontId="29" fillId="11" borderId="21" xfId="0" applyFont="1" applyFill="1" applyBorder="1" applyAlignment="1">
      <alignment horizontal="left"/>
    </xf>
    <xf numFmtId="164" fontId="30" fillId="11" borderId="22" xfId="0" applyNumberFormat="1" applyFont="1" applyFill="1" applyBorder="1"/>
    <xf numFmtId="0" fontId="31" fillId="11" borderId="23" xfId="0" applyFont="1" applyFill="1" applyBorder="1"/>
    <xf numFmtId="9" fontId="30" fillId="11" borderId="23" xfId="0" applyNumberFormat="1" applyFont="1" applyFill="1" applyBorder="1"/>
    <xf numFmtId="9" fontId="30" fillId="11" borderId="24" xfId="0" applyNumberFormat="1" applyFont="1" applyFill="1" applyBorder="1"/>
    <xf numFmtId="9" fontId="14" fillId="12" borderId="26" xfId="0" applyNumberFormat="1" applyFont="1" applyFill="1" applyBorder="1"/>
    <xf numFmtId="0" fontId="32" fillId="9" borderId="19" xfId="0" applyFont="1" applyFill="1" applyBorder="1"/>
    <xf numFmtId="0" fontId="8" fillId="14" borderId="19" xfId="0" applyFont="1" applyFill="1" applyBorder="1"/>
    <xf numFmtId="9" fontId="14" fillId="14" borderId="19" xfId="0" applyNumberFormat="1" applyFont="1" applyFill="1" applyBorder="1"/>
    <xf numFmtId="9" fontId="14" fillId="14" borderId="20" xfId="0" applyNumberFormat="1" applyFont="1" applyFill="1" applyBorder="1"/>
    <xf numFmtId="0" fontId="24" fillId="14" borderId="19" xfId="0" applyFont="1" applyFill="1" applyBorder="1"/>
    <xf numFmtId="0" fontId="29" fillId="13" borderId="28" xfId="0" applyFont="1" applyFill="1" applyBorder="1" applyAlignment="1">
      <alignment horizontal="left"/>
    </xf>
    <xf numFmtId="0" fontId="31" fillId="13" borderId="29" xfId="0" applyFont="1" applyFill="1" applyBorder="1"/>
    <xf numFmtId="9" fontId="30" fillId="13" borderId="29" xfId="0" applyNumberFormat="1" applyFont="1" applyFill="1" applyBorder="1"/>
    <xf numFmtId="0" fontId="8" fillId="14" borderId="29" xfId="0" applyFont="1" applyFill="1" applyBorder="1"/>
    <xf numFmtId="9" fontId="14" fillId="14" borderId="29" xfId="0" applyNumberFormat="1" applyFont="1" applyFill="1" applyBorder="1"/>
    <xf numFmtId="0" fontId="24" fillId="14" borderId="29" xfId="0" applyFont="1" applyFill="1" applyBorder="1"/>
    <xf numFmtId="9" fontId="14" fillId="14" borderId="30" xfId="0" applyNumberFormat="1" applyFont="1" applyFill="1" applyBorder="1"/>
    <xf numFmtId="0" fontId="29" fillId="9" borderId="31" xfId="0" applyFont="1" applyFill="1" applyBorder="1" applyAlignment="1">
      <alignment horizontal="left"/>
    </xf>
    <xf numFmtId="9" fontId="30" fillId="9" borderId="33" xfId="0" applyNumberFormat="1" applyFont="1" applyFill="1" applyBorder="1"/>
    <xf numFmtId="9" fontId="30" fillId="9" borderId="34" xfId="0" applyNumberFormat="1" applyFont="1" applyFill="1" applyBorder="1"/>
    <xf numFmtId="9" fontId="14" fillId="10" borderId="13" xfId="0" applyNumberFormat="1" applyFont="1" applyFill="1" applyBorder="1"/>
    <xf numFmtId="9" fontId="14" fillId="10" borderId="14" xfId="0" applyNumberFormat="1" applyFont="1" applyFill="1" applyBorder="1"/>
    <xf numFmtId="9" fontId="30" fillId="11" borderId="17" xfId="0" applyNumberFormat="1" applyFont="1" applyFill="1" applyBorder="1"/>
    <xf numFmtId="2" fontId="30" fillId="9" borderId="16" xfId="0" applyNumberFormat="1" applyFont="1" applyFill="1" applyBorder="1"/>
    <xf numFmtId="2" fontId="30" fillId="11" borderId="16" xfId="0" applyNumberFormat="1" applyFont="1" applyFill="1" applyBorder="1"/>
    <xf numFmtId="9" fontId="14" fillId="0" borderId="19" xfId="0" applyNumberFormat="1" applyFont="1" applyBorder="1"/>
    <xf numFmtId="9" fontId="14" fillId="0" borderId="20" xfId="0" applyNumberFormat="1" applyFont="1" applyBorder="1"/>
    <xf numFmtId="0" fontId="29" fillId="9" borderId="21" xfId="0" applyFont="1" applyFill="1" applyBorder="1" applyAlignment="1">
      <alignment horizontal="left"/>
    </xf>
    <xf numFmtId="164" fontId="30" fillId="9" borderId="24" xfId="0" applyNumberFormat="1" applyFont="1" applyFill="1" applyBorder="1"/>
    <xf numFmtId="9" fontId="30" fillId="9" borderId="25" xfId="0" applyNumberFormat="1" applyFont="1" applyFill="1" applyBorder="1" applyAlignment="1">
      <alignment horizontal="right"/>
    </xf>
    <xf numFmtId="9" fontId="30" fillId="9" borderId="35" xfId="0" applyNumberFormat="1" applyFont="1" applyFill="1" applyBorder="1" applyAlignment="1">
      <alignment horizontal="right"/>
    </xf>
    <xf numFmtId="9" fontId="0" fillId="10" borderId="13" xfId="0" applyNumberFormat="1" applyFill="1" applyBorder="1"/>
    <xf numFmtId="9" fontId="0" fillId="10" borderId="14" xfId="0" applyNumberFormat="1" applyFill="1" applyBorder="1"/>
    <xf numFmtId="9" fontId="0" fillId="0" borderId="29" xfId="0" applyNumberFormat="1" applyBorder="1"/>
    <xf numFmtId="9" fontId="0" fillId="0" borderId="30" xfId="0" applyNumberFormat="1" applyBorder="1"/>
    <xf numFmtId="9" fontId="30" fillId="11" borderId="19" xfId="0" applyNumberFormat="1" applyFont="1" applyFill="1" applyBorder="1" applyAlignment="1">
      <alignment horizontal="right"/>
    </xf>
    <xf numFmtId="9" fontId="30" fillId="11" borderId="36" xfId="0" applyNumberFormat="1" applyFont="1" applyFill="1" applyBorder="1" applyAlignment="1">
      <alignment horizontal="right"/>
    </xf>
    <xf numFmtId="0" fontId="29" fillId="11" borderId="37" xfId="0" applyFont="1" applyFill="1" applyBorder="1" applyAlignment="1">
      <alignment horizontal="left"/>
    </xf>
    <xf numFmtId="9" fontId="30" fillId="11" borderId="29" xfId="0" applyNumberFormat="1" applyFont="1" applyFill="1" applyBorder="1" applyAlignment="1">
      <alignment horizontal="right"/>
    </xf>
    <xf numFmtId="9" fontId="30" fillId="11" borderId="40" xfId="0" applyNumberFormat="1" applyFont="1" applyFill="1" applyBorder="1" applyAlignment="1">
      <alignment horizontal="right"/>
    </xf>
    <xf numFmtId="0" fontId="32" fillId="9" borderId="33" xfId="0" applyFont="1" applyFill="1" applyBorder="1"/>
    <xf numFmtId="0" fontId="32" fillId="11" borderId="17" xfId="0" applyFont="1" applyFill="1" applyBorder="1"/>
    <xf numFmtId="0" fontId="31" fillId="9" borderId="17" xfId="0" applyFont="1" applyFill="1" applyBorder="1"/>
    <xf numFmtId="1" fontId="38" fillId="10" borderId="13" xfId="0" applyNumberFormat="1" applyFont="1" applyFill="1" applyBorder="1"/>
    <xf numFmtId="1" fontId="42" fillId="0" borderId="19" xfId="0" applyNumberFormat="1" applyFont="1" applyBorder="1"/>
    <xf numFmtId="1" fontId="38" fillId="10" borderId="19" xfId="0" applyNumberFormat="1" applyFont="1" applyFill="1" applyBorder="1"/>
    <xf numFmtId="1" fontId="16" fillId="0" borderId="19" xfId="0" applyNumberFormat="1" applyFont="1" applyBorder="1"/>
    <xf numFmtId="164" fontId="38" fillId="10" borderId="19" xfId="0" applyNumberFormat="1" applyFont="1" applyFill="1" applyBorder="1"/>
    <xf numFmtId="164" fontId="38" fillId="0" borderId="19" xfId="0" applyNumberFormat="1" applyFont="1" applyBorder="1"/>
    <xf numFmtId="1" fontId="38" fillId="0" borderId="19" xfId="0" applyNumberFormat="1" applyFont="1" applyBorder="1"/>
    <xf numFmtId="1" fontId="16" fillId="10" borderId="19" xfId="0" applyNumberFormat="1" applyFont="1" applyFill="1" applyBorder="1"/>
    <xf numFmtId="164" fontId="16" fillId="10" borderId="29" xfId="0" applyNumberFormat="1" applyFont="1" applyFill="1" applyBorder="1" applyAlignment="1">
      <alignment horizontal="right"/>
    </xf>
    <xf numFmtId="0" fontId="31" fillId="9" borderId="29" xfId="0" applyFont="1" applyFill="1" applyBorder="1" applyAlignment="1">
      <alignment horizontal="right"/>
    </xf>
    <xf numFmtId="9" fontId="30" fillId="9" borderId="29" xfId="0" applyNumberFormat="1" applyFont="1" applyFill="1" applyBorder="1" applyAlignment="1">
      <alignment horizontal="right"/>
    </xf>
    <xf numFmtId="9" fontId="30" fillId="9" borderId="40" xfId="0" applyNumberFormat="1" applyFont="1" applyFill="1" applyBorder="1" applyAlignment="1">
      <alignment horizontal="right"/>
    </xf>
    <xf numFmtId="9" fontId="30" fillId="9" borderId="23" xfId="0" applyNumberFormat="1" applyFont="1" applyFill="1" applyBorder="1"/>
    <xf numFmtId="9" fontId="30" fillId="9" borderId="24" xfId="0" applyNumberFormat="1" applyFont="1" applyFill="1" applyBorder="1"/>
    <xf numFmtId="0" fontId="32" fillId="9" borderId="23" xfId="0" applyFont="1" applyFill="1" applyBorder="1"/>
    <xf numFmtId="0" fontId="31" fillId="11" borderId="17" xfId="0" applyFont="1" applyFill="1" applyBorder="1" applyAlignment="1">
      <alignment horizontal="right"/>
    </xf>
    <xf numFmtId="0" fontId="31" fillId="9" borderId="23" xfId="0" applyFont="1" applyFill="1" applyBorder="1" applyAlignment="1">
      <alignment horizontal="right"/>
    </xf>
    <xf numFmtId="0" fontId="31" fillId="11" borderId="39" xfId="0" applyFont="1" applyFill="1" applyBorder="1" applyAlignment="1">
      <alignment horizontal="right"/>
    </xf>
    <xf numFmtId="1" fontId="42" fillId="10" borderId="13" xfId="0" applyNumberFormat="1" applyFont="1" applyFill="1" applyBorder="1"/>
    <xf numFmtId="164" fontId="16" fillId="0" borderId="19" xfId="0" applyNumberFormat="1" applyFont="1" applyBorder="1"/>
    <xf numFmtId="1" fontId="16" fillId="0" borderId="29" xfId="0" applyNumberFormat="1" applyFont="1" applyBorder="1"/>
    <xf numFmtId="164" fontId="30" fillId="13" borderId="29" xfId="0" applyNumberFormat="1" applyFont="1" applyFill="1" applyBorder="1"/>
    <xf numFmtId="1" fontId="30" fillId="9" borderId="32" xfId="0" applyNumberFormat="1" applyFont="1" applyFill="1" applyBorder="1"/>
    <xf numFmtId="1" fontId="30" fillId="11" borderId="16" xfId="0" applyNumberFormat="1" applyFont="1" applyFill="1" applyBorder="1"/>
    <xf numFmtId="1" fontId="30" fillId="9" borderId="16" xfId="0" applyNumberFormat="1" applyFont="1" applyFill="1" applyBorder="1"/>
    <xf numFmtId="1" fontId="30" fillId="9" borderId="22" xfId="0" applyNumberFormat="1" applyFont="1" applyFill="1" applyBorder="1"/>
    <xf numFmtId="1" fontId="30" fillId="11" borderId="38" xfId="0" applyNumberFormat="1" applyFont="1" applyFill="1" applyBorder="1"/>
    <xf numFmtId="0" fontId="18" fillId="0" borderId="0" xfId="0" applyFont="1" applyAlignment="1">
      <alignment horizontal="left" vertical="center"/>
    </xf>
    <xf numFmtId="0" fontId="0" fillId="0" borderId="6" xfId="0" applyBorder="1"/>
    <xf numFmtId="0" fontId="0" fillId="0" borderId="7" xfId="0" applyBorder="1"/>
    <xf numFmtId="0" fontId="18" fillId="11" borderId="43" xfId="0" applyFont="1" applyFill="1" applyBorder="1"/>
    <xf numFmtId="0" fontId="0" fillId="0" borderId="0" xfId="0" applyAlignment="1">
      <alignment horizontal="center"/>
    </xf>
    <xf numFmtId="0" fontId="16" fillId="0" borderId="0" xfId="0" applyFont="1"/>
    <xf numFmtId="0" fontId="2" fillId="0" borderId="1" xfId="0" applyFont="1" applyBorder="1"/>
    <xf numFmtId="0" fontId="2" fillId="0" borderId="2" xfId="0" applyFont="1" applyBorder="1"/>
    <xf numFmtId="0" fontId="0" fillId="0" borderId="2" xfId="0" applyBorder="1"/>
    <xf numFmtId="0" fontId="0" fillId="0" borderId="3" xfId="0" applyBorder="1"/>
    <xf numFmtId="0" fontId="23" fillId="2" borderId="4" xfId="0" applyFont="1" applyFill="1" applyBorder="1" applyAlignment="1">
      <alignment horizontal="center" vertical="center" wrapText="1"/>
    </xf>
    <xf numFmtId="0" fontId="24" fillId="5" borderId="8" xfId="0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29" fillId="11" borderId="73" xfId="0" applyFont="1" applyFill="1" applyBorder="1" applyAlignment="1">
      <alignment horizontal="left"/>
    </xf>
    <xf numFmtId="0" fontId="24" fillId="7" borderId="8" xfId="0" applyFont="1" applyFill="1" applyBorder="1" applyAlignment="1">
      <alignment horizontal="center" vertical="center" wrapText="1"/>
    </xf>
    <xf numFmtId="0" fontId="24" fillId="8" borderId="8" xfId="0" applyFont="1" applyFill="1" applyBorder="1" applyAlignment="1">
      <alignment horizontal="center" vertical="center" wrapText="1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27" xfId="0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8" fillId="19" borderId="27" xfId="0" applyFont="1" applyFill="1" applyBorder="1" applyAlignment="1">
      <alignment horizontal="center"/>
    </xf>
    <xf numFmtId="1" fontId="8" fillId="19" borderId="19" xfId="0" applyNumberFormat="1" applyFont="1" applyFill="1" applyBorder="1" applyAlignment="1">
      <alignment horizontal="center"/>
    </xf>
    <xf numFmtId="1" fontId="8" fillId="19" borderId="20" xfId="0" applyNumberFormat="1" applyFont="1" applyFill="1" applyBorder="1" applyAlignment="1">
      <alignment horizontal="center"/>
    </xf>
    <xf numFmtId="0" fontId="0" fillId="26" borderId="27" xfId="0" applyFill="1" applyBorder="1" applyAlignment="1">
      <alignment horizontal="center"/>
    </xf>
    <xf numFmtId="1" fontId="0" fillId="26" borderId="19" xfId="0" applyNumberFormat="1" applyFill="1" applyBorder="1" applyAlignment="1">
      <alignment horizontal="center"/>
    </xf>
    <xf numFmtId="1" fontId="0" fillId="26" borderId="20" xfId="0" applyNumberFormat="1" applyFill="1" applyBorder="1" applyAlignment="1">
      <alignment horizontal="center"/>
    </xf>
    <xf numFmtId="0" fontId="45" fillId="0" borderId="28" xfId="0" applyFont="1" applyBorder="1" applyAlignment="1">
      <alignment horizontal="center"/>
    </xf>
    <xf numFmtId="1" fontId="45" fillId="0" borderId="29" xfId="0" applyNumberFormat="1" applyFont="1" applyBorder="1" applyAlignment="1">
      <alignment horizontal="center"/>
    </xf>
    <xf numFmtId="1" fontId="45" fillId="0" borderId="30" xfId="0" applyNumberFormat="1" applyFont="1" applyBorder="1" applyAlignment="1">
      <alignment horizontal="center"/>
    </xf>
    <xf numFmtId="0" fontId="2" fillId="0" borderId="0" xfId="0" applyFont="1"/>
    <xf numFmtId="164" fontId="2" fillId="0" borderId="0" xfId="0" applyNumberFormat="1" applyFont="1"/>
    <xf numFmtId="0" fontId="45" fillId="0" borderId="50" xfId="0" applyFont="1" applyBorder="1" applyAlignment="1">
      <alignment horizontal="center"/>
    </xf>
    <xf numFmtId="164" fontId="0" fillId="0" borderId="0" xfId="0" applyNumberFormat="1"/>
    <xf numFmtId="0" fontId="0" fillId="0" borderId="49" xfId="0" applyBorder="1" applyAlignment="1">
      <alignment horizontal="center"/>
    </xf>
    <xf numFmtId="0" fontId="8" fillId="19" borderId="49" xfId="0" applyFont="1" applyFill="1" applyBorder="1" applyAlignment="1">
      <alignment horizontal="center"/>
    </xf>
    <xf numFmtId="0" fontId="0" fillId="26" borderId="49" xfId="0" applyFill="1" applyBorder="1" applyAlignment="1">
      <alignment horizontal="center"/>
    </xf>
    <xf numFmtId="0" fontId="0" fillId="0" borderId="1" xfId="0" applyBorder="1"/>
    <xf numFmtId="0" fontId="17" fillId="0" borderId="0" xfId="0" applyFont="1"/>
    <xf numFmtId="0" fontId="47" fillId="0" borderId="43" xfId="0" applyFont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45" fillId="0" borderId="72" xfId="0" applyFont="1" applyBorder="1" applyAlignment="1">
      <alignment horizontal="center"/>
    </xf>
    <xf numFmtId="1" fontId="45" fillId="0" borderId="19" xfId="0" applyNumberFormat="1" applyFont="1" applyBorder="1" applyAlignment="1">
      <alignment horizontal="center"/>
    </xf>
    <xf numFmtId="1" fontId="45" fillId="0" borderId="20" xfId="0" applyNumberFormat="1" applyFont="1" applyBorder="1" applyAlignment="1">
      <alignment horizontal="center"/>
    </xf>
    <xf numFmtId="164" fontId="45" fillId="0" borderId="29" xfId="0" applyNumberFormat="1" applyFont="1" applyBorder="1" applyAlignment="1">
      <alignment horizontal="center"/>
    </xf>
    <xf numFmtId="164" fontId="45" fillId="0" borderId="30" xfId="0" applyNumberFormat="1" applyFont="1" applyBorder="1" applyAlignment="1">
      <alignment horizontal="center"/>
    </xf>
    <xf numFmtId="0" fontId="50" fillId="0" borderId="0" xfId="0" applyFont="1"/>
    <xf numFmtId="0" fontId="45" fillId="0" borderId="56" xfId="0" applyFont="1" applyBorder="1" applyAlignment="1">
      <alignment horizontal="center"/>
    </xf>
    <xf numFmtId="1" fontId="45" fillId="0" borderId="25" xfId="0" applyNumberFormat="1" applyFont="1" applyBorder="1" applyAlignment="1">
      <alignment horizontal="center"/>
    </xf>
    <xf numFmtId="1" fontId="45" fillId="0" borderId="26" xfId="0" applyNumberFormat="1" applyFont="1" applyBorder="1" applyAlignment="1">
      <alignment horizontal="center"/>
    </xf>
    <xf numFmtId="0" fontId="8" fillId="23" borderId="49" xfId="0" applyFont="1" applyFill="1" applyBorder="1" applyAlignment="1">
      <alignment horizontal="center"/>
    </xf>
    <xf numFmtId="1" fontId="8" fillId="23" borderId="19" xfId="0" applyNumberFormat="1" applyFont="1" applyFill="1" applyBorder="1" applyAlignment="1">
      <alignment horizontal="center"/>
    </xf>
    <xf numFmtId="1" fontId="8" fillId="23" borderId="20" xfId="0" applyNumberFormat="1" applyFont="1" applyFill="1" applyBorder="1" applyAlignment="1">
      <alignment horizontal="center"/>
    </xf>
    <xf numFmtId="0" fontId="14" fillId="19" borderId="49" xfId="0" applyFont="1" applyFill="1" applyBorder="1" applyAlignment="1">
      <alignment horizontal="center"/>
    </xf>
    <xf numFmtId="1" fontId="0" fillId="19" borderId="19" xfId="0" applyNumberFormat="1" applyFill="1" applyBorder="1" applyAlignment="1">
      <alignment horizontal="center"/>
    </xf>
    <xf numFmtId="1" fontId="0" fillId="19" borderId="20" xfId="0" applyNumberFormat="1" applyFill="1" applyBorder="1" applyAlignment="1">
      <alignment horizontal="center"/>
    </xf>
    <xf numFmtId="0" fontId="14" fillId="26" borderId="49" xfId="0" applyFont="1" applyFill="1" applyBorder="1" applyAlignment="1">
      <alignment horizontal="center"/>
    </xf>
    <xf numFmtId="0" fontId="47" fillId="0" borderId="43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" fontId="8" fillId="19" borderId="0" xfId="0" applyNumberFormat="1" applyFont="1" applyFill="1" applyAlignment="1">
      <alignment horizontal="center"/>
    </xf>
    <xf numFmtId="1" fontId="0" fillId="26" borderId="0" xfId="0" applyNumberFormat="1" applyFill="1" applyAlignment="1">
      <alignment horizontal="center"/>
    </xf>
    <xf numFmtId="1" fontId="45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8" fillId="0" borderId="0" xfId="0" applyNumberFormat="1" applyFont="1" applyAlignment="1">
      <alignment horizontal="center"/>
    </xf>
    <xf numFmtId="164" fontId="45" fillId="0" borderId="0" xfId="0" applyNumberFormat="1" applyFont="1" applyAlignment="1">
      <alignment horizontal="center"/>
    </xf>
    <xf numFmtId="0" fontId="59" fillId="0" borderId="0" xfId="0" applyFont="1" applyFill="1" applyBorder="1" applyAlignment="1">
      <alignment horizontal="left"/>
    </xf>
    <xf numFmtId="0" fontId="61" fillId="0" borderId="0" xfId="0" applyFont="1"/>
    <xf numFmtId="1" fontId="8" fillId="14" borderId="0" xfId="0" applyNumberFormat="1" applyFont="1" applyFill="1" applyAlignment="1">
      <alignment horizontal="center"/>
    </xf>
    <xf numFmtId="1" fontId="0" fillId="14" borderId="0" xfId="0" applyNumberFormat="1" applyFill="1" applyAlignment="1">
      <alignment horizontal="center"/>
    </xf>
    <xf numFmtId="0" fontId="0" fillId="0" borderId="0" xfId="0" applyFill="1"/>
    <xf numFmtId="0" fontId="9" fillId="25" borderId="59" xfId="0" applyFont="1" applyFill="1" applyBorder="1" applyAlignment="1">
      <alignment horizontal="center" vertical="center" wrapText="1"/>
    </xf>
    <xf numFmtId="0" fontId="0" fillId="25" borderId="43" xfId="0" applyFill="1" applyBorder="1" applyAlignment="1">
      <alignment horizontal="center" vertical="center"/>
    </xf>
    <xf numFmtId="0" fontId="0" fillId="25" borderId="44" xfId="0" applyFill="1" applyBorder="1" applyAlignment="1">
      <alignment horizontal="center" vertical="center"/>
    </xf>
    <xf numFmtId="0" fontId="0" fillId="25" borderId="46" xfId="0" applyFill="1" applyBorder="1" applyAlignment="1">
      <alignment horizontal="center" vertical="center"/>
    </xf>
    <xf numFmtId="0" fontId="0" fillId="25" borderId="0" xfId="0" applyFill="1" applyAlignment="1">
      <alignment horizontal="center" vertical="center"/>
    </xf>
    <xf numFmtId="0" fontId="0" fillId="25" borderId="45" xfId="0" applyFill="1" applyBorder="1" applyAlignment="1">
      <alignment horizontal="center" vertical="center"/>
    </xf>
    <xf numFmtId="0" fontId="0" fillId="25" borderId="1" xfId="0" applyFill="1" applyBorder="1" applyAlignment="1">
      <alignment horizontal="center" vertical="center"/>
    </xf>
    <xf numFmtId="0" fontId="0" fillId="25" borderId="2" xfId="0" applyFill="1" applyBorder="1" applyAlignment="1">
      <alignment horizontal="center" vertical="center"/>
    </xf>
    <xf numFmtId="0" fontId="0" fillId="25" borderId="3" xfId="0" applyFill="1" applyBorder="1" applyAlignment="1">
      <alignment horizontal="center" vertical="center"/>
    </xf>
    <xf numFmtId="0" fontId="59" fillId="24" borderId="64" xfId="0" applyFont="1" applyFill="1" applyBorder="1" applyAlignment="1">
      <alignment horizontal="left"/>
    </xf>
    <xf numFmtId="0" fontId="60" fillId="24" borderId="65" xfId="0" applyFont="1" applyFill="1" applyBorder="1" applyAlignment="1">
      <alignment horizontal="left"/>
    </xf>
    <xf numFmtId="0" fontId="22" fillId="0" borderId="5" xfId="0" applyFont="1" applyBorder="1"/>
    <xf numFmtId="0" fontId="0" fillId="0" borderId="6" xfId="0" applyBorder="1"/>
    <xf numFmtId="0" fontId="35" fillId="4" borderId="5" xfId="0" applyFont="1" applyFill="1" applyBorder="1" applyAlignment="1">
      <alignment horizontal="left" wrapText="1"/>
    </xf>
    <xf numFmtId="0" fontId="12" fillId="4" borderId="7" xfId="0" applyFont="1" applyFill="1" applyBorder="1" applyAlignment="1">
      <alignment horizontal="left" wrapText="1"/>
    </xf>
    <xf numFmtId="0" fontId="40" fillId="15" borderId="5" xfId="0" applyFont="1" applyFill="1" applyBorder="1" applyAlignment="1">
      <alignment horizontal="left" vertical="center"/>
    </xf>
    <xf numFmtId="0" fontId="41" fillId="4" borderId="7" xfId="0" applyFont="1" applyFill="1" applyBorder="1" applyAlignment="1">
      <alignment vertical="center"/>
    </xf>
    <xf numFmtId="0" fontId="40" fillId="15" borderId="5" xfId="0" applyFont="1" applyFill="1" applyBorder="1" applyAlignment="1">
      <alignment horizontal="left" vertical="center" wrapText="1"/>
    </xf>
    <xf numFmtId="0" fontId="34" fillId="4" borderId="7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 wrapText="1"/>
    </xf>
    <xf numFmtId="0" fontId="27" fillId="4" borderId="6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28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0" fillId="4" borderId="6" xfId="0" applyFill="1" applyBorder="1"/>
    <xf numFmtId="0" fontId="0" fillId="4" borderId="7" xfId="0" applyFill="1" applyBorder="1"/>
    <xf numFmtId="0" fontId="35" fillId="4" borderId="7" xfId="0" applyFont="1" applyFill="1" applyBorder="1" applyAlignment="1">
      <alignment horizontal="left" wrapText="1"/>
    </xf>
    <xf numFmtId="0" fontId="40" fillId="15" borderId="1" xfId="0" applyFont="1" applyFill="1" applyBorder="1" applyAlignment="1">
      <alignment horizontal="left" vertical="center"/>
    </xf>
    <xf numFmtId="0" fontId="41" fillId="4" borderId="3" xfId="0" applyFont="1" applyFill="1" applyBorder="1" applyAlignment="1">
      <alignment horizontal="left" vertical="center"/>
    </xf>
    <xf numFmtId="0" fontId="2" fillId="19" borderId="47" xfId="0" applyFont="1" applyFill="1" applyBorder="1" applyAlignment="1">
      <alignment horizontal="center" vertical="center" wrapText="1"/>
    </xf>
    <xf numFmtId="0" fontId="2" fillId="19" borderId="48" xfId="0" applyFont="1" applyFill="1" applyBorder="1" applyAlignment="1">
      <alignment horizontal="center" vertical="center" wrapText="1"/>
    </xf>
    <xf numFmtId="0" fontId="2" fillId="19" borderId="8" xfId="0" applyFont="1" applyFill="1" applyBorder="1" applyAlignment="1">
      <alignment horizontal="center" vertical="center" wrapText="1"/>
    </xf>
    <xf numFmtId="0" fontId="1" fillId="0" borderId="43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5" fillId="16" borderId="41" xfId="0" applyFont="1" applyFill="1" applyBorder="1" applyAlignment="1">
      <alignment horizontal="center" vertical="center" wrapText="1"/>
    </xf>
    <xf numFmtId="0" fontId="5" fillId="16" borderId="42" xfId="0" applyFont="1" applyFill="1" applyBorder="1" applyAlignment="1">
      <alignment horizontal="center" vertical="center" wrapText="1"/>
    </xf>
    <xf numFmtId="0" fontId="2" fillId="17" borderId="47" xfId="0" applyFont="1" applyFill="1" applyBorder="1" applyAlignment="1">
      <alignment horizontal="center" vertical="center" wrapText="1"/>
    </xf>
    <xf numFmtId="0" fontId="2" fillId="17" borderId="48" xfId="0" applyFont="1" applyFill="1" applyBorder="1" applyAlignment="1">
      <alignment horizontal="center" vertical="center" wrapText="1"/>
    </xf>
    <xf numFmtId="0" fontId="2" fillId="17" borderId="8" xfId="0" applyFont="1" applyFill="1" applyBorder="1" applyAlignment="1">
      <alignment horizontal="center" vertical="center" wrapText="1"/>
    </xf>
    <xf numFmtId="0" fontId="1" fillId="0" borderId="59" xfId="0" applyFont="1" applyBorder="1" applyAlignment="1">
      <alignment horizontal="center"/>
    </xf>
    <xf numFmtId="0" fontId="2" fillId="18" borderId="47" xfId="0" applyFont="1" applyFill="1" applyBorder="1" applyAlignment="1">
      <alignment horizontal="center" vertical="center" wrapText="1"/>
    </xf>
    <xf numFmtId="0" fontId="2" fillId="18" borderId="48" xfId="0" applyFont="1" applyFill="1" applyBorder="1" applyAlignment="1">
      <alignment horizontal="center" vertical="center" wrapText="1"/>
    </xf>
    <xf numFmtId="0" fontId="2" fillId="18" borderId="8" xfId="0" applyFont="1" applyFill="1" applyBorder="1" applyAlignment="1">
      <alignment horizontal="center" vertical="center" wrapText="1"/>
    </xf>
    <xf numFmtId="0" fontId="47" fillId="0" borderId="43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FECF4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Early Yrs to Periflex Jr+'!A1"/><Relationship Id="rId7" Type="http://schemas.openxmlformats.org/officeDocument/2006/relationships/hyperlink" Target="#'Early Yrs to PA GMP READY'!A1"/><Relationship Id="rId12" Type="http://schemas.openxmlformats.org/officeDocument/2006/relationships/hyperlink" Target="#'MJ Phenyl-Free1 to Periflex Jr+'!A1"/><Relationship Id="rId2" Type="http://schemas.openxmlformats.org/officeDocument/2006/relationships/hyperlink" Target="#'DRIs Periflex Jr+ FLAVORS'!A1"/><Relationship Id="rId1" Type="http://schemas.openxmlformats.org/officeDocument/2006/relationships/hyperlink" Target="#'DRIs Periflex Early Yrs'!A1"/><Relationship Id="rId6" Type="http://schemas.openxmlformats.org/officeDocument/2006/relationships/hyperlink" Target="#'Early Yrs to PA GMP Drink Mix'!A1"/><Relationship Id="rId11" Type="http://schemas.openxmlformats.org/officeDocument/2006/relationships/hyperlink" Target="#'MJ Phenyl-Free1 to Early Yrs'!A1"/><Relationship Id="rId5" Type="http://schemas.openxmlformats.org/officeDocument/2006/relationships/hyperlink" Target="#'DRIs Periflex Jr+ PLAIN'!A1"/><Relationship Id="rId10" Type="http://schemas.openxmlformats.org/officeDocument/2006/relationships/hyperlink" Target="#'Abbott Phenex-1 to Periflex Jr+'!A1"/><Relationship Id="rId4" Type="http://schemas.openxmlformats.org/officeDocument/2006/relationships/hyperlink" Target="#'Abbott Phenex-1 to Early Yrs'!A1"/><Relationship Id="rId9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Home!A1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Home!A1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hyperlink" Target="#Home!A1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hyperlink" Target="https://www.nutricialearningcenter.com/en/metabolics/clinician-resources" TargetMode="External"/><Relationship Id="rId4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https://www.nutricialearningcenter.com/en/metabolics/clinician-resources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Home!A1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432201</xdr:colOff>
      <xdr:row>30</xdr:row>
      <xdr:rowOff>83296</xdr:rowOff>
    </xdr:from>
    <xdr:to>
      <xdr:col>22</xdr:col>
      <xdr:colOff>17928</xdr:colOff>
      <xdr:row>33</xdr:row>
      <xdr:rowOff>163231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10798576" y="5591921"/>
          <a:ext cx="2760727" cy="627623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9050" cmpd="sng"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Transition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Abbott's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Phenex®-1</a:t>
          </a:r>
          <a:endParaRPr lang="en-US" sz="9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4</xdr:col>
      <xdr:colOff>114299</xdr:colOff>
      <xdr:row>12</xdr:row>
      <xdr:rowOff>3460</xdr:rowOff>
    </xdr:from>
    <xdr:to>
      <xdr:col>8</xdr:col>
      <xdr:colOff>571500</xdr:colOff>
      <xdr:row>29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143124" y="2327560"/>
          <a:ext cx="2895601" cy="3387440"/>
        </a:xfrm>
        <a:prstGeom prst="roundRect">
          <a:avLst>
            <a:gd name="adj" fmla="val 4488"/>
          </a:avLst>
        </a:prstGeom>
        <a:solidFill>
          <a:schemeClr val="accent4">
            <a:lumMod val="40000"/>
            <a:lumOff val="60000"/>
          </a:schemeClr>
        </a:solidFill>
        <a:ln/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PKU Periflex</a:t>
          </a:r>
          <a:r>
            <a:rPr lang="en-US" sz="900" b="0" baseline="300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Early Years </a:t>
          </a:r>
          <a:endParaRPr lang="en-US" sz="900">
            <a:effectLst/>
            <a:latin typeface="+mn-lt"/>
            <a:cs typeface="Arial" panose="020B0604020202020204" pitchFamily="34" charset="0"/>
          </a:endParaRPr>
        </a:p>
        <a:p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PKU Periflex</a:t>
          </a:r>
          <a:r>
            <a:rPr lang="en-US" sz="900" b="0" baseline="300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Junior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Plus </a:t>
          </a:r>
          <a:r>
            <a:rPr lang="en-US" sz="900" b="0" baseline="0">
              <a:solidFill>
                <a:srgbClr val="C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Plain</a:t>
          </a:r>
          <a:endParaRPr lang="en-US" sz="900">
            <a:effectLst/>
            <a:latin typeface="+mn-lt"/>
            <a:cs typeface="Arial" panose="020B0604020202020204" pitchFamily="34" charset="0"/>
          </a:endParaRPr>
        </a:p>
        <a:p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PKU Periflex</a:t>
          </a:r>
          <a:r>
            <a:rPr lang="en-US" sz="900" b="0" baseline="300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Junior Plus </a:t>
          </a:r>
          <a:r>
            <a:rPr lang="en-US" sz="900" b="0" baseline="0">
              <a:solidFill>
                <a:srgbClr val="C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Flavors</a:t>
          </a:r>
          <a:endParaRPr lang="en-US" sz="900" b="0" baseline="0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endParaRPr lang="en-US" sz="900">
            <a:effectLst/>
            <a:latin typeface="+mn-lt"/>
            <a:cs typeface="Arial" panose="020B0604020202020204" pitchFamily="34" charset="0"/>
          </a:endParaRPr>
        </a:p>
        <a:p>
          <a:pPr algn="ctr"/>
          <a:r>
            <a:rPr lang="en-US" sz="1200" b="1" u="sng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DRI Charts</a:t>
          </a:r>
        </a:p>
        <a:p>
          <a:pPr algn="ctr"/>
          <a:endParaRPr lang="en-US" sz="1000">
            <a:effectLst/>
            <a:latin typeface="+mn-lt"/>
            <a:cs typeface="Arial" panose="020B0604020202020204" pitchFamily="34" charset="0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This is a great interactive tool to ensure your patients' nutritional needs are met!</a:t>
          </a:r>
          <a:endParaRPr lang="en-US" sz="1000">
            <a:effectLst/>
            <a:latin typeface="+mn-lt"/>
            <a:cs typeface="Arial" panose="020B0604020202020204" pitchFamily="34" charset="0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Please refer to the appropriate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product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tab at the bottom of the page. </a:t>
          </a:r>
        </a:p>
        <a:p>
          <a:endParaRPr lang="en-US" sz="1000">
            <a:effectLst/>
            <a:latin typeface="+mn-lt"/>
            <a:cs typeface="Arial" panose="020B0604020202020204" pitchFamily="34" charset="0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In the bright yellow box type in the grams of protein equivalent (PE) your patient receives from the product and press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the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enter key. You will then see in Column B the amount of macro- &amp; micro-nutrients your patient will receive with our product. Then look to the right to see how these values compare to the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DRI in the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appropriate age group column.</a:t>
          </a:r>
          <a:endParaRPr lang="en-US" sz="1000">
            <a:effectLst/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301916</xdr:colOff>
      <xdr:row>11</xdr:row>
      <xdr:rowOff>179295</xdr:rowOff>
    </xdr:from>
    <xdr:to>
      <xdr:col>14</xdr:col>
      <xdr:colOff>571500</xdr:colOff>
      <xdr:row>28</xdr:row>
      <xdr:rowOff>56029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49681" y="2319619"/>
          <a:ext cx="2690054" cy="3115234"/>
        </a:xfrm>
        <a:prstGeom prst="roundRect">
          <a:avLst>
            <a:gd name="adj" fmla="val 4356"/>
          </a:avLst>
        </a:prstGeom>
        <a:solidFill>
          <a:schemeClr val="accent1">
            <a:lumMod val="40000"/>
            <a:lumOff val="60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Periflex</a:t>
          </a:r>
          <a:r>
            <a:rPr lang="en-US" sz="900" b="0" baseline="300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Early Years to Periflex</a:t>
          </a:r>
          <a:r>
            <a:rPr lang="en-US" sz="900" b="0" baseline="300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Junior Plus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Periflex</a:t>
          </a:r>
          <a:r>
            <a:rPr lang="en-US" sz="90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®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Early Years to PhenylAde GMP Drink Mix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Periflex</a:t>
          </a:r>
          <a:r>
            <a:rPr lang="en-US" sz="90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®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Early Years to PhenylAde GMP READY</a:t>
          </a:r>
          <a:endParaRPr lang="en-US" sz="900">
            <a:effectLst/>
          </a:endParaRPr>
        </a:p>
        <a:p>
          <a:pPr eaLnBrk="1" fontAlgn="auto" latinLnBrk="0" hangingPunct="1"/>
          <a:endParaRPr lang="en-US" sz="900">
            <a:effectLst/>
            <a:latin typeface="+mn-lt"/>
            <a:cs typeface="Arial" panose="020B0604020202020204" pitchFamily="34" charset="0"/>
          </a:endParaRPr>
        </a:p>
        <a:p>
          <a:pPr algn="ctr"/>
          <a:r>
            <a:rPr lang="en-US" sz="1200" b="1" u="sng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Transitioning</a:t>
          </a:r>
          <a:r>
            <a:rPr lang="en-US" sz="1200" b="1" u="sng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from Early Years </a:t>
          </a:r>
        </a:p>
        <a:p>
          <a:pPr algn="ctr"/>
          <a:r>
            <a:rPr lang="en-US" sz="1200" b="1" u="sng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to the Next Stage</a:t>
          </a:r>
        </a:p>
        <a:p>
          <a:pPr algn="ctr"/>
          <a:endParaRPr lang="en-US" sz="1000">
            <a:effectLst/>
            <a:latin typeface="+mn-lt"/>
            <a:cs typeface="Arial" panose="020B0604020202020204" pitchFamily="34" charset="0"/>
          </a:endParaRPr>
        </a:p>
        <a:p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Please refer to the "Early Yrs to Periflex Jr+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"Early Yrs to PA GMP Drink Mix" &amp; "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Early Yrs to PA GMP READY"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tabs at the bottom of the page.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endParaRPr lang="en-US" sz="1000">
            <a:effectLst/>
            <a:latin typeface="+mn-lt"/>
            <a:cs typeface="Arial" panose="020B0604020202020204" pitchFamily="34" charset="0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In the bright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y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ellow box type in the grams PE your patient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requires and press the enter key. You will then see multiple options for a step-by-step transition.</a:t>
          </a:r>
          <a:endParaRPr lang="en-US" sz="1000">
            <a:effectLst/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4133</xdr:colOff>
      <xdr:row>34</xdr:row>
      <xdr:rowOff>165207</xdr:rowOff>
    </xdr:from>
    <xdr:to>
      <xdr:col>4</xdr:col>
      <xdr:colOff>491378</xdr:colOff>
      <xdr:row>37</xdr:row>
      <xdr:rowOff>176547</xdr:rowOff>
    </xdr:to>
    <xdr:sp macro="" textlink="">
      <xdr:nvSpPr>
        <xdr:cNvPr id="6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416074" y="6687031"/>
          <a:ext cx="1092363" cy="58284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baseline="0">
              <a:latin typeface="+mn-lt"/>
              <a:cs typeface="Arial" panose="020B0604020202020204" pitchFamily="34" charset="0"/>
            </a:rPr>
            <a:t>Periflex Early Years DRIs</a:t>
          </a:r>
          <a:endParaRPr lang="en-US" sz="1100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83589</xdr:colOff>
      <xdr:row>34</xdr:row>
      <xdr:rowOff>158230</xdr:rowOff>
    </xdr:from>
    <xdr:to>
      <xdr:col>8</xdr:col>
      <xdr:colOff>553996</xdr:colOff>
      <xdr:row>37</xdr:row>
      <xdr:rowOff>171382</xdr:rowOff>
    </xdr:to>
    <xdr:sp macro="" textlink="">
      <xdr:nvSpPr>
        <xdr:cNvPr id="8" name="TextBox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4099964" y="6397105"/>
          <a:ext cx="1105407" cy="5608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Periflex Jr Plus (Flavors) DRIs</a:t>
          </a:r>
          <a:endParaRPr lang="en-US" sz="900">
            <a:effectLst/>
          </a:endParaRPr>
        </a:p>
      </xdr:txBody>
    </xdr:sp>
    <xdr:clientData/>
  </xdr:twoCellAnchor>
  <xdr:twoCellAnchor>
    <xdr:from>
      <xdr:col>10</xdr:col>
      <xdr:colOff>133808</xdr:colOff>
      <xdr:row>34</xdr:row>
      <xdr:rowOff>180234</xdr:rowOff>
    </xdr:from>
    <xdr:to>
      <xdr:col>12</xdr:col>
      <xdr:colOff>118221</xdr:colOff>
      <xdr:row>37</xdr:row>
      <xdr:rowOff>187037</xdr:rowOff>
    </xdr:to>
    <xdr:sp macro="" textlink="">
      <xdr:nvSpPr>
        <xdr:cNvPr id="9" name="TextBox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781573" y="6702058"/>
          <a:ext cx="1194648" cy="578303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Early Years to Periflex Jr Plus</a:t>
          </a:r>
          <a:endParaRPr lang="en-US" sz="1000" b="1">
            <a:effectLst/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335622</xdr:colOff>
      <xdr:row>30</xdr:row>
      <xdr:rowOff>92175</xdr:rowOff>
    </xdr:from>
    <xdr:to>
      <xdr:col>22</xdr:col>
      <xdr:colOff>9898</xdr:colOff>
      <xdr:row>31</xdr:row>
      <xdr:rowOff>160432</xdr:rowOff>
    </xdr:to>
    <xdr:sp macro="" textlink="">
      <xdr:nvSpPr>
        <xdr:cNvPr id="10" name="TextBox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1971997" y="5600800"/>
          <a:ext cx="1579276" cy="250820"/>
        </a:xfrm>
        <a:prstGeom prst="rect">
          <a:avLst/>
        </a:prstGeom>
        <a:solidFill>
          <a:schemeClr val="accent6">
            <a:lumMod val="5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 Periflex</a:t>
          </a:r>
          <a:r>
            <a:rPr lang="en-US" sz="9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Early Years</a:t>
          </a:r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10391</xdr:colOff>
      <xdr:row>38</xdr:row>
      <xdr:rowOff>130968</xdr:rowOff>
    </xdr:from>
    <xdr:to>
      <xdr:col>12</xdr:col>
      <xdr:colOff>523875</xdr:colOff>
      <xdr:row>43</xdr:row>
      <xdr:rowOff>35719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851766" y="7100093"/>
          <a:ext cx="6863484" cy="8175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1" u="sng">
              <a:latin typeface="Arial" panose="020B0604020202020204" pitchFamily="34" charset="0"/>
              <a:cs typeface="Arial" panose="020B0604020202020204" pitchFamily="34" charset="0"/>
            </a:rPr>
            <a:t>Further Questions/Assistance?</a:t>
          </a:r>
        </a:p>
        <a:p>
          <a:r>
            <a:rPr lang="en-US" sz="1100" i="1">
              <a:latin typeface="Arial" panose="020B0604020202020204" pitchFamily="34" charset="0"/>
              <a:cs typeface="Arial" panose="020B0604020202020204" pitchFamily="34" charset="0"/>
            </a:rPr>
            <a:t>Please reach out to our Nutrition Services Department: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2200" b="1">
              <a:solidFill>
                <a:srgbClr val="FF33CC"/>
              </a:solidFill>
              <a:latin typeface="Arial" panose="020B0604020202020204" pitchFamily="34" charset="0"/>
              <a:cs typeface="Arial" panose="020B0604020202020204" pitchFamily="34" charset="0"/>
            </a:rPr>
            <a:t>→</a:t>
          </a:r>
          <a:r>
            <a:rPr lang="en-US" sz="2200" b="1" baseline="0">
              <a:solidFill>
                <a:srgbClr val="FF33CC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="0" u="none">
              <a:latin typeface="Arial" panose="020B0604020202020204" pitchFamily="34" charset="0"/>
              <a:cs typeface="Arial" panose="020B0604020202020204" pitchFamily="34" charset="0"/>
            </a:rPr>
            <a:t>Email</a:t>
          </a:r>
          <a:r>
            <a:rPr lang="en-US" sz="1100" b="1" u="none">
              <a:latin typeface="Arial" panose="020B0604020202020204" pitchFamily="34" charset="0"/>
              <a:cs typeface="Arial" panose="020B0604020202020204" pitchFamily="34" charset="0"/>
            </a:rPr>
            <a:t> NutritionServices@nutricia.com</a:t>
          </a:r>
          <a:r>
            <a:rPr lang="en-US" sz="1100" b="1" u="none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u="none" baseline="0">
              <a:latin typeface="Arial" panose="020B0604020202020204" pitchFamily="34" charset="0"/>
              <a:cs typeface="Arial" panose="020B0604020202020204" pitchFamily="34" charset="0"/>
            </a:rPr>
            <a:t>or call </a:t>
          </a:r>
          <a:r>
            <a:rPr lang="en-US" sz="1100" b="1" u="none" baseline="0">
              <a:latin typeface="Arial" panose="020B0604020202020204" pitchFamily="34" charset="0"/>
              <a:cs typeface="Arial" panose="020B0604020202020204" pitchFamily="34" charset="0"/>
            </a:rPr>
            <a:t>1-800-365-7354</a:t>
          </a:r>
          <a:r>
            <a:rPr lang="en-US" sz="1100" u="none" baseline="0">
              <a:latin typeface="Arial" panose="020B0604020202020204" pitchFamily="34" charset="0"/>
              <a:cs typeface="Arial" panose="020B0604020202020204" pitchFamily="34" charset="0"/>
            </a:rPr>
            <a:t> (</a:t>
          </a:r>
          <a:r>
            <a:rPr lang="en-US" sz="1100" u="none">
              <a:latin typeface="Arial" panose="020B0604020202020204" pitchFamily="34" charset="0"/>
              <a:cs typeface="Arial" panose="020B0604020202020204" pitchFamily="34" charset="0"/>
            </a:rPr>
            <a:t>Mon-Fri from 8:30 am</a:t>
          </a:r>
          <a:r>
            <a:rPr lang="en-US" sz="1100" u="none" baseline="0">
              <a:latin typeface="Arial" panose="020B0604020202020204" pitchFamily="34" charset="0"/>
              <a:cs typeface="Arial" panose="020B0604020202020204" pitchFamily="34" charset="0"/>
            </a:rPr>
            <a:t> - 5</a:t>
          </a:r>
          <a:r>
            <a:rPr lang="en-US" sz="1100" u="none">
              <a:latin typeface="Arial" panose="020B0604020202020204" pitchFamily="34" charset="0"/>
              <a:cs typeface="Arial" panose="020B0604020202020204" pitchFamily="34" charset="0"/>
            </a:rPr>
            <a:t> pm EST)</a:t>
          </a:r>
        </a:p>
      </xdr:txBody>
    </xdr:sp>
    <xdr:clientData/>
  </xdr:twoCellAnchor>
  <xdr:twoCellAnchor>
    <xdr:from>
      <xdr:col>10</xdr:col>
      <xdr:colOff>563860</xdr:colOff>
      <xdr:row>30</xdr:row>
      <xdr:rowOff>14772</xdr:rowOff>
    </xdr:from>
    <xdr:to>
      <xdr:col>14</xdr:col>
      <xdr:colOff>244493</xdr:colOff>
      <xdr:row>32</xdr:row>
      <xdr:rowOff>161976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211625" y="5774596"/>
          <a:ext cx="2101103" cy="5282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0000"/>
              </a:solidFill>
              <a:effectLst/>
              <a:latin typeface="Arial Rounded MT Bold" panose="020F0704030504030204" pitchFamily="34" charset="0"/>
            </a:rPr>
            <a:t>Click here to visit the tab you need!   </a:t>
          </a:r>
        </a:p>
      </xdr:txBody>
    </xdr:sp>
    <xdr:clientData/>
  </xdr:twoCellAnchor>
  <xdr:twoCellAnchor>
    <xdr:from>
      <xdr:col>13</xdr:col>
      <xdr:colOff>436656</xdr:colOff>
      <xdr:row>32</xdr:row>
      <xdr:rowOff>11532</xdr:rowOff>
    </xdr:from>
    <xdr:to>
      <xdr:col>14</xdr:col>
      <xdr:colOff>428625</xdr:colOff>
      <xdr:row>34</xdr:row>
      <xdr:rowOff>-1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>
          <a:off x="8366219" y="5774157"/>
          <a:ext cx="634906" cy="34565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244493</xdr:colOff>
      <xdr:row>31</xdr:row>
      <xdr:rowOff>88374</xdr:rowOff>
    </xdr:from>
    <xdr:to>
      <xdr:col>17</xdr:col>
      <xdr:colOff>134471</xdr:colOff>
      <xdr:row>33</xdr:row>
      <xdr:rowOff>134470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>
          <a:stCxn id="13" idx="3"/>
        </xdr:cNvCxnSpPr>
      </xdr:nvCxnSpPr>
      <xdr:spPr>
        <a:xfrm>
          <a:off x="8312728" y="6038698"/>
          <a:ext cx="1705331" cy="42709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381000</xdr:colOff>
      <xdr:row>32</xdr:row>
      <xdr:rowOff>18813</xdr:rowOff>
    </xdr:from>
    <xdr:to>
      <xdr:col>11</xdr:col>
      <xdr:colOff>369594</xdr:colOff>
      <xdr:row>34</xdr:row>
      <xdr:rowOff>35718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H="1">
          <a:off x="6381750" y="5781438"/>
          <a:ext cx="631532" cy="374093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112059</xdr:colOff>
      <xdr:row>31</xdr:row>
      <xdr:rowOff>49613</xdr:rowOff>
    </xdr:from>
    <xdr:to>
      <xdr:col>10</xdr:col>
      <xdr:colOff>581385</xdr:colOff>
      <xdr:row>34</xdr:row>
      <xdr:rowOff>11205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>
          <a:off x="3339353" y="5999937"/>
          <a:ext cx="2889797" cy="53309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44268</xdr:colOff>
      <xdr:row>34</xdr:row>
      <xdr:rowOff>173694</xdr:rowOff>
    </xdr:from>
    <xdr:to>
      <xdr:col>6</xdr:col>
      <xdr:colOff>522433</xdr:colOff>
      <xdr:row>37</xdr:row>
      <xdr:rowOff>188434</xdr:rowOff>
    </xdr:to>
    <xdr:sp macro="" textlink="">
      <xdr:nvSpPr>
        <xdr:cNvPr id="20" name="TextBox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666444" y="6695518"/>
          <a:ext cx="1083283" cy="58624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Periflex Jr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Plus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(Plain)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DRIs</a:t>
          </a:r>
          <a:endParaRPr lang="en-US" sz="900">
            <a:effectLst/>
          </a:endParaRPr>
        </a:p>
      </xdr:txBody>
    </xdr:sp>
    <xdr:clientData/>
  </xdr:twoCellAnchor>
  <xdr:twoCellAnchor>
    <xdr:from>
      <xdr:col>12</xdr:col>
      <xdr:colOff>297656</xdr:colOff>
      <xdr:row>34</xdr:row>
      <xdr:rowOff>107156</xdr:rowOff>
    </xdr:from>
    <xdr:to>
      <xdr:col>14</xdr:col>
      <xdr:colOff>164911</xdr:colOff>
      <xdr:row>37</xdr:row>
      <xdr:rowOff>177852</xdr:rowOff>
    </xdr:to>
    <xdr:sp macro="" textlink="">
      <xdr:nvSpPr>
        <xdr:cNvPr id="18" name="TextBox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7584281" y="6226969"/>
          <a:ext cx="1153130" cy="60647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Early Years to PhenylAde GMP Drink Mix</a:t>
          </a:r>
          <a:endParaRPr lang="en-US" sz="1000">
            <a:effectLst/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321469</xdr:colOff>
      <xdr:row>34</xdr:row>
      <xdr:rowOff>107157</xdr:rowOff>
    </xdr:from>
    <xdr:to>
      <xdr:col>16</xdr:col>
      <xdr:colOff>173069</xdr:colOff>
      <xdr:row>38</xdr:row>
      <xdr:rowOff>650</xdr:rowOff>
    </xdr:to>
    <xdr:sp macro="" textlink="">
      <xdr:nvSpPr>
        <xdr:cNvPr id="19" name="TextBox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8893969" y="6226970"/>
          <a:ext cx="1137475" cy="607868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Early</a:t>
          </a:r>
          <a:r>
            <a:rPr lang="en-US" sz="1000" b="1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en-US" sz="10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Years</a:t>
          </a:r>
          <a:r>
            <a:rPr lang="en-US" sz="1000" b="1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to</a:t>
          </a:r>
          <a:r>
            <a:rPr lang="en-US" sz="10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PhenylAde GMP READY</a:t>
          </a:r>
          <a:endParaRPr lang="en-US" sz="1000">
            <a:effectLst/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153458</xdr:colOff>
      <xdr:row>1</xdr:row>
      <xdr:rowOff>88636</xdr:rowOff>
    </xdr:from>
    <xdr:to>
      <xdr:col>4</xdr:col>
      <xdr:colOff>59530</xdr:colOff>
      <xdr:row>12</xdr:row>
      <xdr:rowOff>30162</xdr:rowOff>
    </xdr:to>
    <xdr:pic>
      <xdr:nvPicPr>
        <xdr:cNvPr id="21" name="Picture 20" descr="C:\Users\leuffgli\AppData\Local\Temp\notes5DAF2C\PKU Periflex Early Years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64" y="291042"/>
          <a:ext cx="1727729" cy="20663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71438</xdr:colOff>
      <xdr:row>3</xdr:row>
      <xdr:rowOff>11905</xdr:rowOff>
    </xdr:from>
    <xdr:to>
      <xdr:col>27</xdr:col>
      <xdr:colOff>507558</xdr:colOff>
      <xdr:row>11</xdr:row>
      <xdr:rowOff>8731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49188" y="615155"/>
          <a:ext cx="4112770" cy="1522677"/>
        </a:xfrm>
        <a:prstGeom prst="rect">
          <a:avLst/>
        </a:prstGeom>
        <a:effectLst/>
      </xdr:spPr>
    </xdr:pic>
    <xdr:clientData/>
  </xdr:twoCellAnchor>
  <xdr:twoCellAnchor>
    <xdr:from>
      <xdr:col>17</xdr:col>
      <xdr:colOff>438150</xdr:colOff>
      <xdr:row>34</xdr:row>
      <xdr:rowOff>101600</xdr:rowOff>
    </xdr:from>
    <xdr:to>
      <xdr:col>22</xdr:col>
      <xdr:colOff>28575</xdr:colOff>
      <xdr:row>37</xdr:row>
      <xdr:rowOff>166687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10804525" y="6340475"/>
          <a:ext cx="2765425" cy="61277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19050" cmpd="sng"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Transition </a:t>
          </a:r>
          <a:r>
            <a:rPr lang="en-US" sz="1100" b="1" i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Mead Johnson's</a:t>
          </a:r>
          <a:r>
            <a:rPr lang="en-US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Phenyl-Free® 1</a:t>
          </a:r>
          <a:endParaRPr lang="en-US" sz="9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15</xdr:col>
      <xdr:colOff>581024</xdr:colOff>
      <xdr:row>11</xdr:row>
      <xdr:rowOff>134471</xdr:rowOff>
    </xdr:from>
    <xdr:to>
      <xdr:col>20</xdr:col>
      <xdr:colOff>428625</xdr:colOff>
      <xdr:row>29</xdr:row>
      <xdr:rowOff>33617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9254377" y="2274795"/>
          <a:ext cx="2873189" cy="3328146"/>
        </a:xfrm>
        <a:prstGeom prst="roundRect">
          <a:avLst>
            <a:gd name="adj" fmla="val 4488"/>
          </a:avLst>
        </a:prstGeom>
        <a:solidFill>
          <a:schemeClr val="accent6">
            <a:lumMod val="40000"/>
            <a:lumOff val="60000"/>
          </a:schemeClr>
        </a:solidFill>
        <a:ln/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n-US" sz="900" b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</a:t>
          </a:r>
          <a:r>
            <a:rPr lang="en-US" sz="9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Phenex</a:t>
          </a:r>
          <a:r>
            <a:rPr lang="en-US" sz="900" b="0" baseline="3000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lang="en-US" sz="9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-1 to Periflex</a:t>
          </a:r>
          <a:r>
            <a:rPr lang="en-US" sz="900" b="0" baseline="3000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lang="en-US" sz="9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Early Years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- Phenex</a:t>
          </a:r>
          <a:r>
            <a:rPr kumimoji="0" lang="en-US" sz="9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-1 to Periflex</a:t>
          </a:r>
          <a:r>
            <a:rPr kumimoji="0" lang="en-US" sz="9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 Junior Plus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- Phenyl-Free</a:t>
          </a:r>
          <a:r>
            <a:rPr kumimoji="0" lang="en-US" sz="9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 1 to Periflex</a:t>
          </a:r>
          <a:r>
            <a:rPr kumimoji="0" lang="en-US" sz="9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 Early Years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- Phenyl-Free</a:t>
          </a:r>
          <a:r>
            <a:rPr kumimoji="0" lang="en-US" sz="9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 1 to Periflex</a:t>
          </a:r>
          <a:r>
            <a:rPr kumimoji="0" lang="en-US" sz="9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®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 Junior Plus</a:t>
          </a:r>
          <a:endParaRPr lang="en-US" sz="900">
            <a:solidFill>
              <a:sysClr val="windowText" lastClr="000000"/>
            </a:solidFill>
            <a:effectLst/>
            <a:latin typeface="+mn-lt"/>
            <a:cs typeface="Arial" panose="020B0604020202020204" pitchFamily="34" charset="0"/>
          </a:endParaRPr>
        </a:p>
        <a:p>
          <a:pPr algn="ctr" eaLnBrk="1" fontAlgn="auto" latinLnBrk="0" hangingPunct="1"/>
          <a:endParaRPr lang="en-US" sz="900">
            <a:solidFill>
              <a:srgbClr val="FF0000"/>
            </a:solidFill>
            <a:effectLst/>
            <a:latin typeface="+mn-lt"/>
            <a:cs typeface="Arial" panose="020B0604020202020204" pitchFamily="34" charset="0"/>
          </a:endParaRPr>
        </a:p>
        <a:p>
          <a:pPr algn="ctr"/>
          <a:r>
            <a:rPr lang="en-US" sz="1200" b="1" u="sng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Transitioning from Other Brands</a:t>
          </a:r>
          <a:r>
            <a:rPr lang="en-US" sz="1200" b="1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</a:p>
        <a:p>
          <a:pPr algn="ctr"/>
          <a:r>
            <a:rPr lang="en-US" sz="1200" b="1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to Periflex</a:t>
          </a:r>
        </a:p>
        <a:p>
          <a:pPr algn="ctr"/>
          <a:endParaRPr lang="en-US" sz="1000">
            <a:solidFill>
              <a:srgbClr val="FF0000"/>
            </a:solidFill>
            <a:effectLst/>
            <a:latin typeface="+mn-lt"/>
            <a:cs typeface="Arial" panose="020B0604020202020204" pitchFamily="34" charset="0"/>
          </a:endParaRPr>
        </a:p>
        <a:p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Please refer to the "Abbott Phenex-1 to Early Yrs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"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Abbott Phenex-1 to Periflex Jr+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"MJ Phenyl-Free1 to Early Yrs", &amp; "MJ Phenyl-Free1 to Periflex Jr+"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tabs at the bottom of the page.</a:t>
          </a:r>
          <a:endParaRPr lang="en-US" sz="900">
            <a:solidFill>
              <a:srgbClr val="FF0000"/>
            </a:solidFill>
            <a:effectLst/>
            <a:latin typeface="+mn-lt"/>
            <a:cs typeface="Arial" panose="020B0604020202020204" pitchFamily="34" charset="0"/>
          </a:endParaRPr>
        </a:p>
        <a:p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endParaRPr lang="en-US" sz="900">
            <a:solidFill>
              <a:srgbClr val="FF0000"/>
            </a:solidFill>
            <a:effectLst/>
            <a:latin typeface="+mn-lt"/>
            <a:cs typeface="Arial" panose="020B0604020202020204" pitchFamily="34" charset="0"/>
          </a:endParaRPr>
        </a:p>
        <a:p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In the bright yellow box type in the grams PE your patient</a:t>
          </a:r>
          <a:r>
            <a:rPr lang="en-US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requires and press the enter key.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You will then see multiple options for a step-by-step transition</a:t>
          </a:r>
          <a:endParaRPr lang="en-US" sz="900">
            <a:solidFill>
              <a:srgbClr val="FF0000"/>
            </a:solidFill>
            <a:effectLst/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342898</xdr:colOff>
      <xdr:row>32</xdr:row>
      <xdr:rowOff>78443</xdr:rowOff>
    </xdr:from>
    <xdr:to>
      <xdr:col>22</xdr:col>
      <xdr:colOff>13073</xdr:colOff>
      <xdr:row>33</xdr:row>
      <xdr:rowOff>163232</xdr:rowOff>
    </xdr:to>
    <xdr:sp macro="" textlink="">
      <xdr:nvSpPr>
        <xdr:cNvPr id="33" name="TextBox 3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37088E9-7F3D-41A9-92F0-DE8EE2A8A6C6}"/>
            </a:ext>
          </a:extLst>
        </xdr:cNvPr>
        <xdr:cNvSpPr txBox="1"/>
      </xdr:nvSpPr>
      <xdr:spPr>
        <a:xfrm>
          <a:off x="11979273" y="5952193"/>
          <a:ext cx="1575175" cy="267352"/>
        </a:xfrm>
        <a:prstGeom prst="rect">
          <a:avLst/>
        </a:prstGeom>
        <a:solidFill>
          <a:schemeClr val="accent6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 Periflex</a:t>
          </a:r>
          <a:r>
            <a:rPr lang="en-US" sz="9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Junior Plus</a:t>
          </a:r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344299</xdr:colOff>
      <xdr:row>34</xdr:row>
      <xdr:rowOff>103828</xdr:rowOff>
    </xdr:from>
    <xdr:to>
      <xdr:col>22</xdr:col>
      <xdr:colOff>19329</xdr:colOff>
      <xdr:row>36</xdr:row>
      <xdr:rowOff>1867</xdr:rowOff>
    </xdr:to>
    <xdr:sp macro="" textlink="">
      <xdr:nvSpPr>
        <xdr:cNvPr id="37" name="TextBox 3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08EA26E-D737-4146-830D-A6020BBD954F}"/>
            </a:ext>
          </a:extLst>
        </xdr:cNvPr>
        <xdr:cNvSpPr txBox="1"/>
      </xdr:nvSpPr>
      <xdr:spPr>
        <a:xfrm>
          <a:off x="11980674" y="6342703"/>
          <a:ext cx="1580030" cy="263164"/>
        </a:xfrm>
        <a:prstGeom prst="rect">
          <a:avLst/>
        </a:prstGeom>
        <a:solidFill>
          <a:schemeClr val="accent5">
            <a:lumMod val="5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 Periflex</a:t>
          </a:r>
          <a:r>
            <a:rPr lang="en-US" sz="9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Early Years</a:t>
          </a:r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365029</xdr:colOff>
      <xdr:row>36</xdr:row>
      <xdr:rowOff>87579</xdr:rowOff>
    </xdr:from>
    <xdr:to>
      <xdr:col>22</xdr:col>
      <xdr:colOff>22504</xdr:colOff>
      <xdr:row>37</xdr:row>
      <xdr:rowOff>169193</xdr:rowOff>
    </xdr:to>
    <xdr:sp macro="" textlink="">
      <xdr:nvSpPr>
        <xdr:cNvPr id="39" name="TextBox 3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E229029-089D-46F7-B14F-05C8EADBB58C}"/>
            </a:ext>
          </a:extLst>
        </xdr:cNvPr>
        <xdr:cNvSpPr txBox="1"/>
      </xdr:nvSpPr>
      <xdr:spPr>
        <a:xfrm>
          <a:off x="12001404" y="6691579"/>
          <a:ext cx="1562475" cy="264177"/>
        </a:xfrm>
        <a:prstGeom prst="rect">
          <a:avLst/>
        </a:prstGeom>
        <a:solidFill>
          <a:schemeClr val="accent5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 Periflex</a:t>
          </a:r>
          <a:r>
            <a:rPr lang="en-US" sz="9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Junior Plus</a:t>
          </a:r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71805</xdr:colOff>
      <xdr:row>18</xdr:row>
      <xdr:rowOff>149469</xdr:rowOff>
    </xdr:from>
    <xdr:to>
      <xdr:col>9</xdr:col>
      <xdr:colOff>570035</xdr:colOff>
      <xdr:row>23</xdr:row>
      <xdr:rowOff>39565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C364451E-379E-4193-BD05-3BCFF04F8CB4}"/>
            </a:ext>
          </a:extLst>
        </xdr:cNvPr>
        <xdr:cNvCxnSpPr/>
      </xdr:nvCxnSpPr>
      <xdr:spPr>
        <a:xfrm flipV="1">
          <a:off x="6510705" y="4378569"/>
          <a:ext cx="1107830" cy="852121"/>
        </a:xfrm>
        <a:prstGeom prst="curvedConnector3">
          <a:avLst>
            <a:gd name="adj1" fmla="val 50000"/>
          </a:avLst>
        </a:prstGeom>
        <a:ln w="38100">
          <a:solidFill>
            <a:srgbClr val="7030A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323850</xdr:colOff>
      <xdr:row>9</xdr:row>
      <xdr:rowOff>66675</xdr:rowOff>
    </xdr:from>
    <xdr:to>
      <xdr:col>13</xdr:col>
      <xdr:colOff>464344</xdr:colOff>
      <xdr:row>23</xdr:row>
      <xdr:rowOff>111760</xdr:rowOff>
    </xdr:to>
    <xdr:pic>
      <xdr:nvPicPr>
        <xdr:cNvPr id="3" name="Picture 2" descr="C:\Users\leuffgli\AppData\Local\Temp\notes5DAF2C\PKU Periflex Early Years.png">
          <a:extLst>
            <a:ext uri="{FF2B5EF4-FFF2-40B4-BE49-F238E27FC236}">
              <a16:creationId xmlns:a16="http://schemas.microsoft.com/office/drawing/2014/main" id="{0D23D480-D97C-4464-AD6B-2382BD4A38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2552700"/>
          <a:ext cx="2255044" cy="2750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136824</xdr:colOff>
      <xdr:row>19</xdr:row>
      <xdr:rowOff>112058</xdr:rowOff>
    </xdr:from>
    <xdr:to>
      <xdr:col>8</xdr:col>
      <xdr:colOff>135649</xdr:colOff>
      <xdr:row>26</xdr:row>
      <xdr:rowOff>142143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95D8CE-3078-4C89-ADD8-7A11BC050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47559" y="4538382"/>
          <a:ext cx="1209061" cy="1385996"/>
        </a:xfrm>
        <a:prstGeom prst="rect">
          <a:avLst/>
        </a:prstGeom>
      </xdr:spPr>
    </xdr:pic>
    <xdr:clientData/>
  </xdr:twoCellAnchor>
  <xdr:twoCellAnchor>
    <xdr:from>
      <xdr:col>12</xdr:col>
      <xdr:colOff>67236</xdr:colOff>
      <xdr:row>0</xdr:row>
      <xdr:rowOff>123264</xdr:rowOff>
    </xdr:from>
    <xdr:to>
      <xdr:col>14</xdr:col>
      <xdr:colOff>465667</xdr:colOff>
      <xdr:row>1</xdr:row>
      <xdr:rowOff>84464</xdr:rowOff>
    </xdr:to>
    <xdr:sp macro="" textlink="">
      <xdr:nvSpPr>
        <xdr:cNvPr id="5" name="TextBox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85FD58-0EC3-45A2-8C65-E355607B811B}"/>
            </a:ext>
          </a:extLst>
        </xdr:cNvPr>
        <xdr:cNvSpPr txBox="1"/>
      </xdr:nvSpPr>
      <xdr:spPr>
        <a:xfrm>
          <a:off x="8908677" y="123264"/>
          <a:ext cx="1294902" cy="5327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71805</xdr:colOff>
      <xdr:row>18</xdr:row>
      <xdr:rowOff>149469</xdr:rowOff>
    </xdr:from>
    <xdr:to>
      <xdr:col>9</xdr:col>
      <xdr:colOff>570035</xdr:colOff>
      <xdr:row>23</xdr:row>
      <xdr:rowOff>39565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AEC24768-0D76-43A3-9BDA-B5B00699095A}"/>
            </a:ext>
          </a:extLst>
        </xdr:cNvPr>
        <xdr:cNvCxnSpPr/>
      </xdr:nvCxnSpPr>
      <xdr:spPr>
        <a:xfrm flipV="1">
          <a:off x="6510705" y="4378569"/>
          <a:ext cx="1107830" cy="852121"/>
        </a:xfrm>
        <a:prstGeom prst="curvedConnector3">
          <a:avLst>
            <a:gd name="adj1" fmla="val 50000"/>
          </a:avLst>
        </a:prstGeom>
        <a:ln w="38100">
          <a:solidFill>
            <a:srgbClr val="7030A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136501</xdr:colOff>
      <xdr:row>19</xdr:row>
      <xdr:rowOff>112058</xdr:rowOff>
    </xdr:from>
    <xdr:to>
      <xdr:col>8</xdr:col>
      <xdr:colOff>135972</xdr:colOff>
      <xdr:row>26</xdr:row>
      <xdr:rowOff>142143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A57F00-B94C-49F9-93DD-65F4F8E3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47236" y="4538382"/>
          <a:ext cx="1209707" cy="1385996"/>
        </a:xfrm>
        <a:prstGeom prst="rect">
          <a:avLst/>
        </a:prstGeom>
      </xdr:spPr>
    </xdr:pic>
    <xdr:clientData/>
  </xdr:twoCellAnchor>
  <xdr:twoCellAnchor>
    <xdr:from>
      <xdr:col>12</xdr:col>
      <xdr:colOff>89648</xdr:colOff>
      <xdr:row>0</xdr:row>
      <xdr:rowOff>145677</xdr:rowOff>
    </xdr:from>
    <xdr:to>
      <xdr:col>14</xdr:col>
      <xdr:colOff>488079</xdr:colOff>
      <xdr:row>1</xdr:row>
      <xdr:rowOff>106877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623595-8179-4E1F-A8C3-149DD6A74E7C}"/>
            </a:ext>
          </a:extLst>
        </xdr:cNvPr>
        <xdr:cNvSpPr txBox="1"/>
      </xdr:nvSpPr>
      <xdr:spPr>
        <a:xfrm>
          <a:off x="8966948" y="145677"/>
          <a:ext cx="1293781" cy="5327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10</xdr:col>
      <xdr:colOff>100853</xdr:colOff>
      <xdr:row>14</xdr:row>
      <xdr:rowOff>156881</xdr:rowOff>
    </xdr:from>
    <xdr:to>
      <xdr:col>16</xdr:col>
      <xdr:colOff>307705</xdr:colOff>
      <xdr:row>21</xdr:row>
      <xdr:rowOff>130013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8FDF2A-9897-429D-9F02-29C569898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58953" y="3614456"/>
          <a:ext cx="3540602" cy="13256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3</xdr:row>
      <xdr:rowOff>19050</xdr:rowOff>
    </xdr:from>
    <xdr:to>
      <xdr:col>10</xdr:col>
      <xdr:colOff>470430</xdr:colOff>
      <xdr:row>5</xdr:row>
      <xdr:rowOff>171450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677150" y="1743075"/>
          <a:ext cx="1299105" cy="5334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8</xdr:col>
      <xdr:colOff>85725</xdr:colOff>
      <xdr:row>0</xdr:row>
      <xdr:rowOff>0</xdr:rowOff>
    </xdr:from>
    <xdr:to>
      <xdr:col>11</xdr:col>
      <xdr:colOff>47625</xdr:colOff>
      <xdr:row>2</xdr:row>
      <xdr:rowOff>466725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3ADAC2-55BC-47B2-B603-7D4817069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12"/>
        <a:stretch/>
      </xdr:blipFill>
      <xdr:spPr>
        <a:xfrm>
          <a:off x="7696200" y="0"/>
          <a:ext cx="1466850" cy="1619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51954</xdr:colOff>
      <xdr:row>0</xdr:row>
      <xdr:rowOff>41960</xdr:rowOff>
    </xdr:from>
    <xdr:to>
      <xdr:col>13</xdr:col>
      <xdr:colOff>43295</xdr:colOff>
      <xdr:row>2</xdr:row>
      <xdr:rowOff>537585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7"/>
        <a:stretch/>
      </xdr:blipFill>
      <xdr:spPr>
        <a:xfrm>
          <a:off x="7784522" y="41960"/>
          <a:ext cx="1489364" cy="1647284"/>
        </a:xfrm>
        <a:prstGeom prst="rect">
          <a:avLst/>
        </a:prstGeom>
      </xdr:spPr>
    </xdr:pic>
    <xdr:clientData/>
  </xdr:twoCellAnchor>
  <xdr:twoCellAnchor>
    <xdr:from>
      <xdr:col>10</xdr:col>
      <xdr:colOff>95250</xdr:colOff>
      <xdr:row>3</xdr:row>
      <xdr:rowOff>0</xdr:rowOff>
    </xdr:from>
    <xdr:to>
      <xdr:col>12</xdr:col>
      <xdr:colOff>495541</xdr:colOff>
      <xdr:row>6</xdr:row>
      <xdr:rowOff>46759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2F9771-68E8-4C98-A7B1-AADDE2838A76}"/>
            </a:ext>
          </a:extLst>
        </xdr:cNvPr>
        <xdr:cNvSpPr txBox="1"/>
      </xdr:nvSpPr>
      <xdr:spPr>
        <a:xfrm>
          <a:off x="7827818" y="1731818"/>
          <a:ext cx="1292178" cy="61825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60614</xdr:colOff>
      <xdr:row>3</xdr:row>
      <xdr:rowOff>25978</xdr:rowOff>
    </xdr:from>
    <xdr:to>
      <xdr:col>12</xdr:col>
      <xdr:colOff>460905</xdr:colOff>
      <xdr:row>6</xdr:row>
      <xdr:rowOff>72737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983144-B673-4AC1-9A52-FCB65D6AE656}"/>
            </a:ext>
          </a:extLst>
        </xdr:cNvPr>
        <xdr:cNvSpPr txBox="1"/>
      </xdr:nvSpPr>
      <xdr:spPr>
        <a:xfrm>
          <a:off x="7793182" y="1757796"/>
          <a:ext cx="1292178" cy="61825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10</xdr:col>
      <xdr:colOff>69274</xdr:colOff>
      <xdr:row>0</xdr:row>
      <xdr:rowOff>8659</xdr:rowOff>
    </xdr:from>
    <xdr:to>
      <xdr:col>12</xdr:col>
      <xdr:colOff>426237</xdr:colOff>
      <xdr:row>2</xdr:row>
      <xdr:rowOff>545523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A83BDD-1D4C-4668-AA71-311CD7AA0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47" r="13116"/>
        <a:stretch/>
      </xdr:blipFill>
      <xdr:spPr>
        <a:xfrm>
          <a:off x="7801842" y="8659"/>
          <a:ext cx="1255200" cy="1688523"/>
        </a:xfrm>
        <a:prstGeom prst="rect">
          <a:avLst/>
        </a:prstGeom>
      </xdr:spPr>
    </xdr:pic>
    <xdr:clientData/>
  </xdr:twoCellAnchor>
  <xdr:twoCellAnchor editAs="oneCell">
    <xdr:from>
      <xdr:col>12</xdr:col>
      <xdr:colOff>406977</xdr:colOff>
      <xdr:row>0</xdr:row>
      <xdr:rowOff>17319</xdr:rowOff>
    </xdr:from>
    <xdr:to>
      <xdr:col>14</xdr:col>
      <xdr:colOff>466524</xdr:colOff>
      <xdr:row>3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BC62CE-F96C-4EC0-9148-DD00CEF24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4" r="13707"/>
        <a:stretch/>
      </xdr:blipFill>
      <xdr:spPr>
        <a:xfrm>
          <a:off x="9031432" y="17319"/>
          <a:ext cx="1278169" cy="1705840"/>
        </a:xfrm>
        <a:prstGeom prst="rect">
          <a:avLst/>
        </a:prstGeom>
      </xdr:spPr>
    </xdr:pic>
    <xdr:clientData/>
  </xdr:twoCellAnchor>
  <xdr:twoCellAnchor editAs="oneCell">
    <xdr:from>
      <xdr:col>14</xdr:col>
      <xdr:colOff>458934</xdr:colOff>
      <xdr:row>0</xdr:row>
      <xdr:rowOff>17318</xdr:rowOff>
    </xdr:from>
    <xdr:to>
      <xdr:col>16</xdr:col>
      <xdr:colOff>486813</xdr:colOff>
      <xdr:row>3</xdr:row>
      <xdr:rowOff>8659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C0F33F7-C4F1-45E2-A08A-5AC905B7D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58" r="13472"/>
        <a:stretch/>
      </xdr:blipFill>
      <xdr:spPr>
        <a:xfrm>
          <a:off x="10295661" y="17318"/>
          <a:ext cx="1240152" cy="1723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330200</xdr:colOff>
      <xdr:row>15</xdr:row>
      <xdr:rowOff>180975</xdr:rowOff>
    </xdr:from>
    <xdr:to>
      <xdr:col>10</xdr:col>
      <xdr:colOff>180975</xdr:colOff>
      <xdr:row>19</xdr:row>
      <xdr:rowOff>6350</xdr:rowOff>
    </xdr:to>
    <xdr:cxnSp macro="">
      <xdr:nvCxnSpPr>
        <xdr:cNvPr id="4" name="Curved Connector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 flipV="1">
          <a:off x="7054850" y="3705225"/>
          <a:ext cx="1127125" cy="568325"/>
        </a:xfrm>
        <a:prstGeom prst="curvedConnector3">
          <a:avLst>
            <a:gd name="adj1" fmla="val 50000"/>
          </a:avLst>
        </a:prstGeom>
        <a:ln w="38100">
          <a:solidFill>
            <a:srgbClr val="7030A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95250</xdr:colOff>
      <xdr:row>0</xdr:row>
      <xdr:rowOff>123825</xdr:rowOff>
    </xdr:from>
    <xdr:to>
      <xdr:col>14</xdr:col>
      <xdr:colOff>499005</xdr:colOff>
      <xdr:row>1</xdr:row>
      <xdr:rowOff>85725</xdr:rowOff>
    </xdr:to>
    <xdr:sp macro="" textlink="">
      <xdr:nvSpPr>
        <xdr:cNvPr id="6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8343900" y="123825"/>
          <a:ext cx="1299105" cy="5334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10</xdr:col>
      <xdr:colOff>372533</xdr:colOff>
      <xdr:row>11</xdr:row>
      <xdr:rowOff>161474</xdr:rowOff>
    </xdr:from>
    <xdr:to>
      <xdr:col>16</xdr:col>
      <xdr:colOff>558800</xdr:colOff>
      <xdr:row>18</xdr:row>
      <xdr:rowOff>136338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1983" y="3428549"/>
          <a:ext cx="3520017" cy="1327414"/>
        </a:xfrm>
        <a:prstGeom prst="rect">
          <a:avLst/>
        </a:prstGeom>
        <a:effectLst/>
      </xdr:spPr>
    </xdr:pic>
    <xdr:clientData/>
  </xdr:twoCellAnchor>
  <xdr:twoCellAnchor editAs="oneCell">
    <xdr:from>
      <xdr:col>5</xdr:col>
      <xdr:colOff>600076</xdr:colOff>
      <xdr:row>15</xdr:row>
      <xdr:rowOff>15875</xdr:rowOff>
    </xdr:from>
    <xdr:to>
      <xdr:col>8</xdr:col>
      <xdr:colOff>463550</xdr:colOff>
      <xdr:row>25</xdr:row>
      <xdr:rowOff>86359</xdr:rowOff>
    </xdr:to>
    <xdr:pic>
      <xdr:nvPicPr>
        <xdr:cNvPr id="7" name="Picture 6" descr="C:\Users\leuffgli\AppData\Local\Temp\notes5DAF2C\PKU Periflex Early Years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540125"/>
          <a:ext cx="1781174" cy="19151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200028</xdr:colOff>
      <xdr:row>18</xdr:row>
      <xdr:rowOff>177481</xdr:rowOff>
    </xdr:from>
    <xdr:to>
      <xdr:col>10</xdr:col>
      <xdr:colOff>343958</xdr:colOff>
      <xdr:row>20</xdr:row>
      <xdr:rowOff>152400</xdr:rowOff>
    </xdr:to>
    <xdr:cxnSp macro="">
      <xdr:nvCxnSpPr>
        <xdr:cNvPr id="2" name="Curved Connector 3">
          <a:extLst>
            <a:ext uri="{FF2B5EF4-FFF2-40B4-BE49-F238E27FC236}">
              <a16:creationId xmlns:a16="http://schemas.microsoft.com/office/drawing/2014/main" id="{1EC467D7-FAF0-4559-98C1-9B5A5596A336}"/>
            </a:ext>
          </a:extLst>
        </xdr:cNvPr>
        <xdr:cNvCxnSpPr/>
      </xdr:nvCxnSpPr>
      <xdr:spPr>
        <a:xfrm flipV="1">
          <a:off x="7058028" y="4025581"/>
          <a:ext cx="753530" cy="365444"/>
        </a:xfrm>
        <a:prstGeom prst="curvedConnector3">
          <a:avLst>
            <a:gd name="adj1" fmla="val 50000"/>
          </a:avLst>
        </a:prstGeom>
        <a:ln w="38100">
          <a:solidFill>
            <a:srgbClr val="7030A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571501</xdr:colOff>
      <xdr:row>17</xdr:row>
      <xdr:rowOff>0</xdr:rowOff>
    </xdr:from>
    <xdr:to>
      <xdr:col>8</xdr:col>
      <xdr:colOff>438150</xdr:colOff>
      <xdr:row>27</xdr:row>
      <xdr:rowOff>73659</xdr:rowOff>
    </xdr:to>
    <xdr:pic>
      <xdr:nvPicPr>
        <xdr:cNvPr id="5" name="Picture 4" descr="C:\Users\leuffgli\AppData\Local\Temp\notes5DAF2C\PKU Periflex Early Years.png">
          <a:extLst>
            <a:ext uri="{FF2B5EF4-FFF2-40B4-BE49-F238E27FC236}">
              <a16:creationId xmlns:a16="http://schemas.microsoft.com/office/drawing/2014/main" id="{049F3312-69B1-4A45-85D8-7BCC908CE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1" y="4029075"/>
          <a:ext cx="1695449" cy="20072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400050</xdr:colOff>
      <xdr:row>11</xdr:row>
      <xdr:rowOff>123825</xdr:rowOff>
    </xdr:from>
    <xdr:to>
      <xdr:col>13</xdr:col>
      <xdr:colOff>317245</xdr:colOff>
      <xdr:row>17</xdr:row>
      <xdr:rowOff>83790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F1A3BEF-8FF9-4042-AB65-427BF1712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7650" y="2809875"/>
          <a:ext cx="1457070" cy="1115665"/>
        </a:xfrm>
        <a:prstGeom prst="rect">
          <a:avLst/>
        </a:prstGeom>
      </xdr:spPr>
    </xdr:pic>
    <xdr:clientData/>
  </xdr:twoCellAnchor>
  <xdr:twoCellAnchor editAs="oneCell">
    <xdr:from>
      <xdr:col>10</xdr:col>
      <xdr:colOff>417003</xdr:colOff>
      <xdr:row>18</xdr:row>
      <xdr:rowOff>75749</xdr:rowOff>
    </xdr:from>
    <xdr:to>
      <xdr:col>14</xdr:col>
      <xdr:colOff>533380</xdr:colOff>
      <xdr:row>25</xdr:row>
      <xdr:rowOff>60138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537B80-E7DE-40D8-A925-092872D93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84603" y="3923849"/>
          <a:ext cx="2269027" cy="1327414"/>
        </a:xfrm>
        <a:prstGeom prst="rect">
          <a:avLst/>
        </a:prstGeom>
        <a:effectLst/>
      </xdr:spPr>
    </xdr:pic>
    <xdr:clientData/>
  </xdr:twoCellAnchor>
  <xdr:twoCellAnchor>
    <xdr:from>
      <xdr:col>12</xdr:col>
      <xdr:colOff>85725</xdr:colOff>
      <xdr:row>0</xdr:row>
      <xdr:rowOff>104775</xdr:rowOff>
    </xdr:from>
    <xdr:to>
      <xdr:col>14</xdr:col>
      <xdr:colOff>489480</xdr:colOff>
      <xdr:row>1</xdr:row>
      <xdr:rowOff>66675</xdr:rowOff>
    </xdr:to>
    <xdr:sp macro="" textlink="">
      <xdr:nvSpPr>
        <xdr:cNvPr id="9" name="TextBox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3E1925-EF18-4126-B8D9-DEF0F15994FF}"/>
            </a:ext>
          </a:extLst>
        </xdr:cNvPr>
        <xdr:cNvSpPr txBox="1"/>
      </xdr:nvSpPr>
      <xdr:spPr>
        <a:xfrm>
          <a:off x="8772525" y="104775"/>
          <a:ext cx="1299105" cy="5334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>
    <xdr:from>
      <xdr:col>13</xdr:col>
      <xdr:colOff>400050</xdr:colOff>
      <xdr:row>12</xdr:row>
      <xdr:rowOff>133350</xdr:rowOff>
    </xdr:from>
    <xdr:to>
      <xdr:col>16</xdr:col>
      <xdr:colOff>314325</xdr:colOff>
      <xdr:row>18</xdr:row>
      <xdr:rowOff>114301</xdr:rowOff>
    </xdr:to>
    <xdr:sp macro="" textlink="">
      <xdr:nvSpPr>
        <xdr:cNvPr id="10" name="TextBox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EDC37B1-A886-41FC-8A11-840F58D24FFB}"/>
            </a:ext>
          </a:extLst>
        </xdr:cNvPr>
        <xdr:cNvSpPr txBox="1"/>
      </xdr:nvSpPr>
      <xdr:spPr>
        <a:xfrm>
          <a:off x="9372600" y="3209925"/>
          <a:ext cx="1743075" cy="1133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solidFill>
                <a:srgbClr val="7030A0"/>
              </a:solidFill>
              <a:latin typeface="Arial Rounded MT Bold" panose="020F0704030504030204" pitchFamily="34" charset="0"/>
            </a:rPr>
            <a:t>Click here to access the PhenylAde® GMP DRI Calculator</a:t>
          </a:r>
          <a:r>
            <a:rPr lang="en-US" sz="1200" baseline="0">
              <a:solidFill>
                <a:srgbClr val="7030A0"/>
              </a:solidFill>
              <a:latin typeface="Arial Rounded MT Bold" panose="020F0704030504030204" pitchFamily="34" charset="0"/>
            </a:rPr>
            <a:t> on Nutricia Learning Center</a:t>
          </a:r>
          <a:r>
            <a:rPr lang="en-US" sz="1200">
              <a:solidFill>
                <a:srgbClr val="7030A0"/>
              </a:solidFill>
              <a:latin typeface="Arial Rounded MT Bold" panose="020F0704030504030204" pitchFamily="34" charset="0"/>
            </a:rPr>
            <a:t>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256598</xdr:colOff>
      <xdr:row>14</xdr:row>
      <xdr:rowOff>8659</xdr:rowOff>
    </xdr:from>
    <xdr:to>
      <xdr:col>10</xdr:col>
      <xdr:colOff>398318</xdr:colOff>
      <xdr:row>16</xdr:row>
      <xdr:rowOff>107084</xdr:rowOff>
    </xdr:to>
    <xdr:cxnSp macro="">
      <xdr:nvCxnSpPr>
        <xdr:cNvPr id="2" name="Curved Connector 3">
          <a:extLst>
            <a:ext uri="{FF2B5EF4-FFF2-40B4-BE49-F238E27FC236}">
              <a16:creationId xmlns:a16="http://schemas.microsoft.com/office/drawing/2014/main" id="{DEBF848A-CC8D-4093-B94C-07CA22FCE62E}"/>
            </a:ext>
          </a:extLst>
        </xdr:cNvPr>
        <xdr:cNvCxnSpPr/>
      </xdr:nvCxnSpPr>
      <xdr:spPr>
        <a:xfrm flipV="1">
          <a:off x="8093075" y="3368386"/>
          <a:ext cx="782493" cy="462107"/>
        </a:xfrm>
        <a:prstGeom prst="curvedConnector3">
          <a:avLst>
            <a:gd name="adj1" fmla="val 50000"/>
          </a:avLst>
        </a:prstGeom>
        <a:ln w="38100">
          <a:solidFill>
            <a:srgbClr val="7030A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467592</xdr:colOff>
      <xdr:row>9</xdr:row>
      <xdr:rowOff>177800</xdr:rowOff>
    </xdr:from>
    <xdr:to>
      <xdr:col>9</xdr:col>
      <xdr:colOff>331066</xdr:colOff>
      <xdr:row>20</xdr:row>
      <xdr:rowOff>67309</xdr:rowOff>
    </xdr:to>
    <xdr:pic>
      <xdr:nvPicPr>
        <xdr:cNvPr id="3" name="Picture 2" descr="C:\Users\leuffgli\AppData\Local\Temp\notes5DAF2C\PKU Periflex Early Years.png">
          <a:extLst>
            <a:ext uri="{FF2B5EF4-FFF2-40B4-BE49-F238E27FC236}">
              <a16:creationId xmlns:a16="http://schemas.microsoft.com/office/drawing/2014/main" id="{7AC116E3-B3C4-492F-A782-CD3E7CDF7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1" y="2602345"/>
          <a:ext cx="1788967" cy="1929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474766</xdr:colOff>
      <xdr:row>11</xdr:row>
      <xdr:rowOff>7920</xdr:rowOff>
    </xdr:from>
    <xdr:to>
      <xdr:col>11</xdr:col>
      <xdr:colOff>562700</xdr:colOff>
      <xdr:row>19</xdr:row>
      <xdr:rowOff>69274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DB283F-A5A3-47E7-A9E4-2090C61A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52016" y="2804806"/>
          <a:ext cx="731882" cy="1545234"/>
        </a:xfrm>
        <a:prstGeom prst="rect">
          <a:avLst/>
        </a:prstGeom>
        <a:effectLst/>
      </xdr:spPr>
    </xdr:pic>
    <xdr:clientData/>
  </xdr:twoCellAnchor>
  <xdr:twoCellAnchor>
    <xdr:from>
      <xdr:col>12</xdr:col>
      <xdr:colOff>85725</xdr:colOff>
      <xdr:row>0</xdr:row>
      <xdr:rowOff>104775</xdr:rowOff>
    </xdr:from>
    <xdr:to>
      <xdr:col>14</xdr:col>
      <xdr:colOff>489480</xdr:colOff>
      <xdr:row>1</xdr:row>
      <xdr:rowOff>66675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5B3421-D908-4C39-BD48-829F6FC9110A}"/>
            </a:ext>
          </a:extLst>
        </xdr:cNvPr>
        <xdr:cNvSpPr txBox="1"/>
      </xdr:nvSpPr>
      <xdr:spPr>
        <a:xfrm>
          <a:off x="8772525" y="104775"/>
          <a:ext cx="1299105" cy="5334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>
    <xdr:from>
      <xdr:col>12</xdr:col>
      <xdr:colOff>47625</xdr:colOff>
      <xdr:row>4</xdr:row>
      <xdr:rowOff>38100</xdr:rowOff>
    </xdr:from>
    <xdr:to>
      <xdr:col>15</xdr:col>
      <xdr:colOff>285750</xdr:colOff>
      <xdr:row>9</xdr:row>
      <xdr:rowOff>66675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BB5CB0-F308-4491-B5EE-B7931361986C}"/>
            </a:ext>
          </a:extLst>
        </xdr:cNvPr>
        <xdr:cNvSpPr txBox="1"/>
      </xdr:nvSpPr>
      <xdr:spPr>
        <a:xfrm>
          <a:off x="8124825" y="1571625"/>
          <a:ext cx="1743075" cy="981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solidFill>
                <a:srgbClr val="7030A0"/>
              </a:solidFill>
              <a:latin typeface="Arial Rounded MT Bold" panose="020F0704030504030204" pitchFamily="34" charset="0"/>
            </a:rPr>
            <a:t>Click here to access the PhenylAde® GMP DRI Calculator</a:t>
          </a:r>
          <a:r>
            <a:rPr lang="en-US" sz="1200" baseline="0">
              <a:solidFill>
                <a:srgbClr val="7030A0"/>
              </a:solidFill>
              <a:latin typeface="Arial Rounded MT Bold" panose="020F0704030504030204" pitchFamily="34" charset="0"/>
            </a:rPr>
            <a:t> on Nutricia Learning Center</a:t>
          </a:r>
          <a:r>
            <a:rPr lang="en-US" sz="1200">
              <a:solidFill>
                <a:srgbClr val="7030A0"/>
              </a:solidFill>
              <a:latin typeface="Arial Rounded MT Bold" panose="020F0704030504030204" pitchFamily="34" charset="0"/>
            </a:rPr>
            <a:t>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211666</xdr:colOff>
      <xdr:row>19</xdr:row>
      <xdr:rowOff>137583</xdr:rowOff>
    </xdr:from>
    <xdr:to>
      <xdr:col>10</xdr:col>
      <xdr:colOff>10583</xdr:colOff>
      <xdr:row>23</xdr:row>
      <xdr:rowOff>87841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>
        <a:xfrm flipV="1">
          <a:off x="6932083" y="4381500"/>
          <a:ext cx="1068917" cy="680508"/>
        </a:xfrm>
        <a:prstGeom prst="curvedConnector3">
          <a:avLst>
            <a:gd name="adj1" fmla="val 38083"/>
          </a:avLst>
        </a:prstGeom>
        <a:ln w="38100">
          <a:solidFill>
            <a:srgbClr val="7030A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387351</xdr:colOff>
      <xdr:row>11</xdr:row>
      <xdr:rowOff>10583</xdr:rowOff>
    </xdr:from>
    <xdr:to>
      <xdr:col>13</xdr:col>
      <xdr:colOff>303742</xdr:colOff>
      <xdr:row>24</xdr:row>
      <xdr:rowOff>27517</xdr:rowOff>
    </xdr:to>
    <xdr:pic>
      <xdr:nvPicPr>
        <xdr:cNvPr id="4" name="Picture 3" descr="C:\Users\leuffgli\AppData\Local\Temp\notes5DAF2C\PKU Periflex Early Years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2768" y="2794000"/>
          <a:ext cx="2117724" cy="238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45182</xdr:colOff>
      <xdr:row>19</xdr:row>
      <xdr:rowOff>112058</xdr:rowOff>
    </xdr:from>
    <xdr:to>
      <xdr:col>8</xdr:col>
      <xdr:colOff>74083</xdr:colOff>
      <xdr:row>26</xdr:row>
      <xdr:rowOff>145318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60"/>
        <a:stretch/>
      </xdr:blipFill>
      <xdr:spPr>
        <a:xfrm>
          <a:off x="5495599" y="4355975"/>
          <a:ext cx="1298901" cy="1310668"/>
        </a:xfrm>
        <a:prstGeom prst="rect">
          <a:avLst/>
        </a:prstGeom>
      </xdr:spPr>
    </xdr:pic>
    <xdr:clientData/>
  </xdr:twoCellAnchor>
  <xdr:twoCellAnchor>
    <xdr:from>
      <xdr:col>12</xdr:col>
      <xdr:colOff>78441</xdr:colOff>
      <xdr:row>0</xdr:row>
      <xdr:rowOff>123265</xdr:rowOff>
    </xdr:from>
    <xdr:to>
      <xdr:col>14</xdr:col>
      <xdr:colOff>476872</xdr:colOff>
      <xdr:row>1</xdr:row>
      <xdr:rowOff>84465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8919882" y="123265"/>
          <a:ext cx="1294902" cy="5327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71805</xdr:colOff>
      <xdr:row>18</xdr:row>
      <xdr:rowOff>149469</xdr:rowOff>
    </xdr:from>
    <xdr:to>
      <xdr:col>9</xdr:col>
      <xdr:colOff>570035</xdr:colOff>
      <xdr:row>23</xdr:row>
      <xdr:rowOff>39565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9EE30BE7-58F5-4824-B3EF-54CDCB328722}"/>
            </a:ext>
          </a:extLst>
        </xdr:cNvPr>
        <xdr:cNvCxnSpPr/>
      </xdr:nvCxnSpPr>
      <xdr:spPr>
        <a:xfrm flipV="1">
          <a:off x="6510705" y="4378569"/>
          <a:ext cx="1107830" cy="852121"/>
        </a:xfrm>
        <a:prstGeom prst="curvedConnector3">
          <a:avLst>
            <a:gd name="adj1" fmla="val 50000"/>
          </a:avLst>
        </a:prstGeom>
        <a:ln w="38100">
          <a:solidFill>
            <a:srgbClr val="7030A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48357</xdr:colOff>
      <xdr:row>19</xdr:row>
      <xdr:rowOff>112058</xdr:rowOff>
    </xdr:from>
    <xdr:to>
      <xdr:col>8</xdr:col>
      <xdr:colOff>217767</xdr:colOff>
      <xdr:row>26</xdr:row>
      <xdr:rowOff>142143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6DF1CA-E565-4A2C-A71F-2F34909B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8057" y="4531658"/>
          <a:ext cx="1394960" cy="1382635"/>
        </a:xfrm>
        <a:prstGeom prst="rect">
          <a:avLst/>
        </a:prstGeom>
      </xdr:spPr>
    </xdr:pic>
    <xdr:clientData/>
  </xdr:twoCellAnchor>
  <xdr:twoCellAnchor>
    <xdr:from>
      <xdr:col>12</xdr:col>
      <xdr:colOff>89648</xdr:colOff>
      <xdr:row>0</xdr:row>
      <xdr:rowOff>145677</xdr:rowOff>
    </xdr:from>
    <xdr:to>
      <xdr:col>14</xdr:col>
      <xdr:colOff>488079</xdr:colOff>
      <xdr:row>1</xdr:row>
      <xdr:rowOff>106877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5B0FF2-ADCE-4092-8EC4-13442DA91A87}"/>
            </a:ext>
          </a:extLst>
        </xdr:cNvPr>
        <xdr:cNvSpPr txBox="1"/>
      </xdr:nvSpPr>
      <xdr:spPr>
        <a:xfrm>
          <a:off x="8931089" y="145677"/>
          <a:ext cx="1294902" cy="5327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10</xdr:col>
      <xdr:colOff>100853</xdr:colOff>
      <xdr:row>14</xdr:row>
      <xdr:rowOff>156881</xdr:rowOff>
    </xdr:from>
    <xdr:to>
      <xdr:col>16</xdr:col>
      <xdr:colOff>307705</xdr:colOff>
      <xdr:row>21</xdr:row>
      <xdr:rowOff>123663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097BD9-750B-42C2-AF94-6350293F5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32059" y="3619499"/>
          <a:ext cx="3523793" cy="13290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B1:X48"/>
  <sheetViews>
    <sheetView showGridLines="0" showRowColHeaders="0" tabSelected="1" zoomScale="70" zoomScaleNormal="70" workbookViewId="0"/>
  </sheetViews>
  <sheetFormatPr defaultColWidth="9.1796875" defaultRowHeight="14.5" x14ac:dyDescent="0.35"/>
  <cols>
    <col min="1" max="1" width="3" customWidth="1"/>
  </cols>
  <sheetData>
    <row r="1" spans="2:24" ht="15" thickBot="1" x14ac:dyDescent="0.4"/>
    <row r="2" spans="2:24" ht="15" thickTop="1" x14ac:dyDescent="0.35">
      <c r="B2" s="16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9"/>
    </row>
    <row r="3" spans="2:24" ht="15" thickBot="1" x14ac:dyDescent="0.4">
      <c r="B3" s="15"/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X3" s="20"/>
    </row>
    <row r="4" spans="2:24" x14ac:dyDescent="0.35">
      <c r="B4" s="15"/>
      <c r="C4" s="5"/>
      <c r="D4" s="6"/>
      <c r="E4" s="347" t="s">
        <v>125</v>
      </c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49"/>
      <c r="V4" s="6"/>
      <c r="W4" s="7"/>
      <c r="X4" s="20"/>
    </row>
    <row r="5" spans="2:24" x14ac:dyDescent="0.35">
      <c r="B5" s="15"/>
      <c r="C5" s="5"/>
      <c r="D5" s="6"/>
      <c r="E5" s="350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2"/>
      <c r="V5" s="6"/>
      <c r="W5" s="7"/>
      <c r="X5" s="20"/>
    </row>
    <row r="6" spans="2:24" x14ac:dyDescent="0.35">
      <c r="B6" s="15"/>
      <c r="C6" s="5"/>
      <c r="D6" s="6"/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2"/>
      <c r="V6" s="6"/>
      <c r="W6" s="7"/>
      <c r="X6" s="20"/>
    </row>
    <row r="7" spans="2:24" x14ac:dyDescent="0.35">
      <c r="B7" s="15"/>
      <c r="C7" s="5"/>
      <c r="D7" s="6"/>
      <c r="E7" s="350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51"/>
      <c r="Q7" s="351"/>
      <c r="R7" s="351"/>
      <c r="S7" s="351"/>
      <c r="T7" s="351"/>
      <c r="U7" s="352"/>
      <c r="V7" s="6"/>
      <c r="W7" s="7"/>
      <c r="X7" s="20"/>
    </row>
    <row r="8" spans="2:24" x14ac:dyDescent="0.35">
      <c r="B8" s="15"/>
      <c r="C8" s="5"/>
      <c r="D8" s="6"/>
      <c r="E8" s="350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351"/>
      <c r="T8" s="351"/>
      <c r="U8" s="352"/>
      <c r="V8" s="6"/>
      <c r="W8" s="7"/>
      <c r="X8" s="20"/>
    </row>
    <row r="9" spans="2:24" x14ac:dyDescent="0.35">
      <c r="B9" s="15"/>
      <c r="C9" s="5"/>
      <c r="D9" s="6"/>
      <c r="E9" s="350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2"/>
      <c r="V9" s="6"/>
      <c r="W9" s="7"/>
      <c r="X9" s="20"/>
    </row>
    <row r="10" spans="2:24" ht="15" thickBot="1" x14ac:dyDescent="0.4">
      <c r="B10" s="15"/>
      <c r="C10" s="5"/>
      <c r="D10" s="6"/>
      <c r="E10" s="353"/>
      <c r="F10" s="354"/>
      <c r="G10" s="354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5"/>
      <c r="V10" s="6"/>
      <c r="W10" s="7"/>
      <c r="X10" s="20"/>
    </row>
    <row r="11" spans="2:24" x14ac:dyDescent="0.35">
      <c r="B11" s="15"/>
      <c r="C11" s="5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7"/>
      <c r="X11" s="20"/>
    </row>
    <row r="12" spans="2:24" x14ac:dyDescent="0.35">
      <c r="B12" s="15"/>
      <c r="C12" s="5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7"/>
      <c r="X12" s="20"/>
    </row>
    <row r="13" spans="2:24" x14ac:dyDescent="0.35">
      <c r="B13" s="15"/>
      <c r="C13" s="8"/>
      <c r="W13" s="9"/>
      <c r="X13" s="20"/>
    </row>
    <row r="14" spans="2:24" x14ac:dyDescent="0.35">
      <c r="B14" s="15"/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7"/>
      <c r="X14" s="20"/>
    </row>
    <row r="15" spans="2:24" x14ac:dyDescent="0.35">
      <c r="B15" s="15"/>
      <c r="C15" s="5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7"/>
      <c r="X15" s="20"/>
    </row>
    <row r="16" spans="2:24" x14ac:dyDescent="0.35">
      <c r="B16" s="15"/>
      <c r="C16" s="5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7"/>
      <c r="X16" s="20"/>
    </row>
    <row r="17" spans="2:24" x14ac:dyDescent="0.35">
      <c r="B17" s="15"/>
      <c r="C17" s="5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7"/>
      <c r="X17" s="20"/>
    </row>
    <row r="18" spans="2:24" x14ac:dyDescent="0.35">
      <c r="B18" s="15"/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7"/>
      <c r="X18" s="20"/>
    </row>
    <row r="19" spans="2:24" x14ac:dyDescent="0.35">
      <c r="B19" s="15"/>
      <c r="C19" s="5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7"/>
      <c r="X19" s="20"/>
    </row>
    <row r="20" spans="2:24" x14ac:dyDescent="0.35">
      <c r="B20" s="15"/>
      <c r="C20" s="5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7"/>
      <c r="X20" s="20"/>
    </row>
    <row r="21" spans="2:24" x14ac:dyDescent="0.35">
      <c r="B21" s="15"/>
      <c r="C21" s="5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7"/>
      <c r="X21" s="20"/>
    </row>
    <row r="22" spans="2:24" x14ac:dyDescent="0.35">
      <c r="B22" s="15"/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7"/>
      <c r="X22" s="20"/>
    </row>
    <row r="23" spans="2:24" x14ac:dyDescent="0.35">
      <c r="B23" s="15"/>
      <c r="C23" s="5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7"/>
      <c r="X23" s="20"/>
    </row>
    <row r="24" spans="2:24" x14ac:dyDescent="0.35">
      <c r="B24" s="15"/>
      <c r="C24" s="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7"/>
      <c r="X24" s="20"/>
    </row>
    <row r="25" spans="2:24" x14ac:dyDescent="0.35">
      <c r="B25" s="15"/>
      <c r="C25" s="5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7"/>
      <c r="X25" s="20"/>
    </row>
    <row r="26" spans="2:24" x14ac:dyDescent="0.35">
      <c r="B26" s="15"/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7"/>
      <c r="X26" s="20"/>
    </row>
    <row r="27" spans="2:24" x14ac:dyDescent="0.35">
      <c r="B27" s="17"/>
      <c r="C27" s="8"/>
      <c r="W27" s="9"/>
      <c r="X27" s="20"/>
    </row>
    <row r="28" spans="2:24" x14ac:dyDescent="0.35">
      <c r="B28" s="15"/>
      <c r="C28" s="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7"/>
      <c r="X28" s="20"/>
    </row>
    <row r="29" spans="2:24" x14ac:dyDescent="0.35">
      <c r="B29" s="15"/>
      <c r="C29" s="5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7"/>
      <c r="X29" s="20"/>
    </row>
    <row r="30" spans="2:24" x14ac:dyDescent="0.35">
      <c r="B30" s="15"/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7"/>
      <c r="X30" s="20"/>
    </row>
    <row r="31" spans="2:24" x14ac:dyDescent="0.35">
      <c r="B31" s="15"/>
      <c r="C31" s="5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7"/>
      <c r="X31" s="20"/>
    </row>
    <row r="32" spans="2:24" x14ac:dyDescent="0.35">
      <c r="B32" s="15"/>
      <c r="C32" s="5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7"/>
      <c r="X32" s="20"/>
    </row>
    <row r="33" spans="2:24" x14ac:dyDescent="0.35">
      <c r="B33" s="15"/>
      <c r="C33" s="5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7"/>
      <c r="X33" s="20"/>
    </row>
    <row r="34" spans="2:24" x14ac:dyDescent="0.35">
      <c r="B34" s="15"/>
      <c r="C34" s="5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7"/>
      <c r="X34" s="20"/>
    </row>
    <row r="35" spans="2:24" x14ac:dyDescent="0.35">
      <c r="B35" s="15"/>
      <c r="C35" s="5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7"/>
      <c r="X35" s="20"/>
    </row>
    <row r="36" spans="2:24" x14ac:dyDescent="0.35">
      <c r="B36" s="15"/>
      <c r="C36" s="5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7"/>
      <c r="X36" s="20"/>
    </row>
    <row r="37" spans="2:24" x14ac:dyDescent="0.35">
      <c r="B37" s="15"/>
      <c r="C37" s="5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7"/>
      <c r="X37" s="20"/>
    </row>
    <row r="38" spans="2:24" x14ac:dyDescent="0.35">
      <c r="B38" s="15"/>
      <c r="C38" s="10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2"/>
      <c r="X38" s="20"/>
    </row>
    <row r="39" spans="2:24" x14ac:dyDescent="0.35">
      <c r="B39" s="15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0"/>
    </row>
    <row r="40" spans="2:24" x14ac:dyDescent="0.35">
      <c r="B40" s="15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0"/>
    </row>
    <row r="41" spans="2:24" x14ac:dyDescent="0.35">
      <c r="B41" s="15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0"/>
    </row>
    <row r="42" spans="2:24" x14ac:dyDescent="0.35">
      <c r="B42" s="15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0"/>
    </row>
    <row r="43" spans="2:24" x14ac:dyDescent="0.35">
      <c r="B43" s="15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0"/>
    </row>
    <row r="44" spans="2:24" x14ac:dyDescent="0.35">
      <c r="B44" s="15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0"/>
    </row>
    <row r="45" spans="2:24" ht="16" thickBot="1" x14ac:dyDescent="0.4">
      <c r="B45" s="356" t="s">
        <v>124</v>
      </c>
      <c r="C45" s="357"/>
      <c r="D45" s="357"/>
      <c r="E45" s="357"/>
      <c r="F45" s="357"/>
      <c r="G45" s="357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1"/>
    </row>
    <row r="46" spans="2:24" ht="16" thickTop="1" x14ac:dyDescent="0.35">
      <c r="B46" s="342"/>
    </row>
    <row r="47" spans="2:24" x14ac:dyDescent="0.35">
      <c r="B47" s="269" t="s">
        <v>0</v>
      </c>
    </row>
    <row r="48" spans="2:24" x14ac:dyDescent="0.35">
      <c r="B48" t="s">
        <v>1</v>
      </c>
    </row>
  </sheetData>
  <sheetProtection algorithmName="SHA-512" hashValue="6PWqzqX9hlCpfUIfEBzHcnP65TN2iLoSHl6Bcr6Y3xYKzmk14pgQYCeVTjaMKku5mhxe2xObIAjhw+pc3D0ZXg==" saltValue="sSFAU5BZoavKcHAEanTfxw==" spinCount="100000" sheet="1" objects="1" scenarios="1"/>
  <mergeCells count="2">
    <mergeCell ref="E4:U10"/>
    <mergeCell ref="B45:G4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AE8CA-F4D4-489D-88FB-99C87B7F55C9}">
  <sheetPr>
    <tabColor theme="8" tint="-0.499984740745262"/>
  </sheetPr>
  <dimension ref="A1:L33"/>
  <sheetViews>
    <sheetView showGridLines="0" zoomScale="80" zoomScaleNormal="80" workbookViewId="0">
      <selection activeCell="B36" sqref="B36"/>
    </sheetView>
  </sheetViews>
  <sheetFormatPr defaultColWidth="9.1796875" defaultRowHeight="14.5" x14ac:dyDescent="0.35"/>
  <cols>
    <col min="1" max="1" width="20.26953125" customWidth="1"/>
    <col min="2" max="2" width="21.453125" customWidth="1"/>
    <col min="13" max="13" width="4.26953125" customWidth="1"/>
  </cols>
  <sheetData>
    <row r="1" spans="1:12" ht="45" customHeight="1" x14ac:dyDescent="0.35">
      <c r="A1" s="381" t="s">
        <v>79</v>
      </c>
      <c r="B1" s="382"/>
      <c r="C1" s="287"/>
      <c r="D1" s="390" t="s">
        <v>119</v>
      </c>
      <c r="E1" s="390"/>
      <c r="F1" s="390"/>
      <c r="G1" s="390"/>
      <c r="H1" s="390"/>
      <c r="I1" s="390"/>
      <c r="J1" s="390"/>
      <c r="K1" s="287"/>
      <c r="L1" s="288"/>
    </row>
    <row r="2" spans="1:12" ht="45" customHeight="1" thickBot="1" x14ac:dyDescent="0.4">
      <c r="A2" s="1">
        <v>0</v>
      </c>
      <c r="D2" s="393"/>
      <c r="E2" s="393"/>
      <c r="F2" s="393"/>
      <c r="G2" s="393"/>
      <c r="H2" s="393"/>
      <c r="I2" s="393"/>
      <c r="J2" s="393"/>
      <c r="L2" s="289"/>
    </row>
    <row r="3" spans="1:12" x14ac:dyDescent="0.35">
      <c r="A3" s="290"/>
      <c r="L3" s="289"/>
    </row>
    <row r="4" spans="1:12" ht="15" thickBot="1" x14ac:dyDescent="0.4">
      <c r="A4" s="290"/>
      <c r="L4" s="289"/>
    </row>
    <row r="5" spans="1:12" x14ac:dyDescent="0.35">
      <c r="A5" s="383" t="s">
        <v>111</v>
      </c>
      <c r="B5" s="379" t="s">
        <v>82</v>
      </c>
      <c r="C5" s="379"/>
      <c r="D5" s="379"/>
      <c r="E5" s="379"/>
      <c r="F5" s="379"/>
      <c r="G5" s="379"/>
      <c r="H5" s="379"/>
      <c r="I5" s="379"/>
      <c r="J5" s="379"/>
      <c r="K5" s="379"/>
      <c r="L5" s="380"/>
    </row>
    <row r="6" spans="1:12" x14ac:dyDescent="0.35">
      <c r="A6" s="384"/>
      <c r="B6" s="307"/>
      <c r="C6" s="292" t="s">
        <v>83</v>
      </c>
      <c r="D6" s="292" t="s">
        <v>84</v>
      </c>
      <c r="E6" s="292" t="s">
        <v>85</v>
      </c>
      <c r="F6" s="292" t="s">
        <v>86</v>
      </c>
      <c r="G6" s="292" t="s">
        <v>87</v>
      </c>
      <c r="H6" s="292" t="s">
        <v>88</v>
      </c>
      <c r="I6" s="292" t="s">
        <v>112</v>
      </c>
      <c r="J6" s="292" t="s">
        <v>89</v>
      </c>
      <c r="K6" s="292" t="s">
        <v>90</v>
      </c>
      <c r="L6" s="293" t="s">
        <v>91</v>
      </c>
    </row>
    <row r="7" spans="1:12" x14ac:dyDescent="0.35">
      <c r="A7" s="384"/>
      <c r="B7" s="323" t="s">
        <v>120</v>
      </c>
      <c r="C7" s="324">
        <f>100*A2/16.2*0.9</f>
        <v>0</v>
      </c>
      <c r="D7" s="324">
        <f>100*A2/16.2*0.8</f>
        <v>0</v>
      </c>
      <c r="E7" s="324">
        <f>100*A2/16.2*0.7</f>
        <v>0</v>
      </c>
      <c r="F7" s="324">
        <f>100*A2/16.2*0.6</f>
        <v>0</v>
      </c>
      <c r="G7" s="324">
        <f>100*A2/16.2*0.5</f>
        <v>0</v>
      </c>
      <c r="H7" s="324">
        <f>100*A2/16.2*0.4</f>
        <v>0</v>
      </c>
      <c r="I7" s="324">
        <f>100*A2/16.2*0.3</f>
        <v>0</v>
      </c>
      <c r="J7" s="324">
        <f>100*A2/16.2*0.2</f>
        <v>0</v>
      </c>
      <c r="K7" s="324">
        <f>100*A2/16.2*0.1</f>
        <v>0</v>
      </c>
      <c r="L7" s="325">
        <f>100*A2/16.2*0</f>
        <v>0</v>
      </c>
    </row>
    <row r="8" spans="1:12" x14ac:dyDescent="0.35">
      <c r="A8" s="384"/>
      <c r="B8" s="326" t="s">
        <v>92</v>
      </c>
      <c r="C8" s="327">
        <f>100*A2/13.5*0.1</f>
        <v>0</v>
      </c>
      <c r="D8" s="327">
        <f>100*A2/13.5*0.2</f>
        <v>0</v>
      </c>
      <c r="E8" s="327">
        <f>100*A2/13.5*0.3</f>
        <v>0</v>
      </c>
      <c r="F8" s="327">
        <f>100*A2/13.5*0.4</f>
        <v>0</v>
      </c>
      <c r="G8" s="327">
        <f>100*A2/13.5*0.5</f>
        <v>0</v>
      </c>
      <c r="H8" s="327">
        <f>100*A2/13.5*0.6</f>
        <v>0</v>
      </c>
      <c r="I8" s="327">
        <f>100*A2/13.5*0.7</f>
        <v>0</v>
      </c>
      <c r="J8" s="327">
        <f>100*A2/13.5*0.8</f>
        <v>0</v>
      </c>
      <c r="K8" s="327">
        <f>100*A2/13.5*0.9</f>
        <v>0</v>
      </c>
      <c r="L8" s="328">
        <f>100*A2/13.5*1</f>
        <v>0</v>
      </c>
    </row>
    <row r="9" spans="1:12" x14ac:dyDescent="0.35">
      <c r="A9" s="384"/>
      <c r="B9" s="320" t="s">
        <v>102</v>
      </c>
      <c r="C9" s="321">
        <f t="shared" ref="C9:L9" si="0">(C7*500/100)+(C8*473/100)</f>
        <v>0</v>
      </c>
      <c r="D9" s="321">
        <f t="shared" si="0"/>
        <v>0</v>
      </c>
      <c r="E9" s="321">
        <f t="shared" si="0"/>
        <v>0</v>
      </c>
      <c r="F9" s="321">
        <f t="shared" si="0"/>
        <v>0</v>
      </c>
      <c r="G9" s="321">
        <f t="shared" si="0"/>
        <v>0</v>
      </c>
      <c r="H9" s="321">
        <f t="shared" si="0"/>
        <v>0</v>
      </c>
      <c r="I9" s="321">
        <f t="shared" si="0"/>
        <v>0</v>
      </c>
      <c r="J9" s="321">
        <f t="shared" si="0"/>
        <v>0</v>
      </c>
      <c r="K9" s="321">
        <f t="shared" si="0"/>
        <v>0</v>
      </c>
      <c r="L9" s="321">
        <f t="shared" si="0"/>
        <v>0</v>
      </c>
    </row>
    <row r="10" spans="1:12" ht="15" thickBot="1" x14ac:dyDescent="0.4">
      <c r="A10" s="385"/>
      <c r="B10" s="305" t="s">
        <v>24</v>
      </c>
      <c r="C10" s="317">
        <f t="shared" ref="C10:L10" si="1">C8*5.3/100</f>
        <v>0</v>
      </c>
      <c r="D10" s="317">
        <f t="shared" si="1"/>
        <v>0</v>
      </c>
      <c r="E10" s="317">
        <f t="shared" si="1"/>
        <v>0</v>
      </c>
      <c r="F10" s="317">
        <f t="shared" si="1"/>
        <v>0</v>
      </c>
      <c r="G10" s="317">
        <f t="shared" si="1"/>
        <v>0</v>
      </c>
      <c r="H10" s="317">
        <f t="shared" si="1"/>
        <v>0</v>
      </c>
      <c r="I10" s="317">
        <f t="shared" si="1"/>
        <v>0</v>
      </c>
      <c r="J10" s="317">
        <f t="shared" si="1"/>
        <v>0</v>
      </c>
      <c r="K10" s="317">
        <f t="shared" si="1"/>
        <v>0</v>
      </c>
      <c r="L10" s="318">
        <f t="shared" si="1"/>
        <v>0</v>
      </c>
    </row>
    <row r="11" spans="1:12" x14ac:dyDescent="0.35">
      <c r="A11" s="290"/>
      <c r="B11" s="303"/>
      <c r="C11" s="304"/>
      <c r="D11" s="304"/>
      <c r="E11" s="304"/>
      <c r="F11" s="304"/>
      <c r="L11" s="289"/>
    </row>
    <row r="12" spans="1:12" ht="15" thickBot="1" x14ac:dyDescent="0.4">
      <c r="A12" s="290"/>
      <c r="L12" s="289"/>
    </row>
    <row r="13" spans="1:12" x14ac:dyDescent="0.35">
      <c r="A13" s="387" t="s">
        <v>114</v>
      </c>
      <c r="B13" s="379" t="s">
        <v>115</v>
      </c>
      <c r="C13" s="379"/>
      <c r="D13" s="379"/>
      <c r="E13" s="379"/>
      <c r="F13" s="379"/>
      <c r="G13" s="379"/>
      <c r="H13" s="379"/>
      <c r="I13" s="380"/>
      <c r="L13" s="289"/>
    </row>
    <row r="14" spans="1:12" x14ac:dyDescent="0.35">
      <c r="A14" s="388"/>
      <c r="B14" s="307"/>
      <c r="C14" s="292" t="s">
        <v>83</v>
      </c>
      <c r="D14" s="292" t="s">
        <v>84</v>
      </c>
      <c r="E14" s="292" t="s">
        <v>85</v>
      </c>
      <c r="F14" s="292" t="s">
        <v>86</v>
      </c>
      <c r="G14" s="292" t="s">
        <v>87</v>
      </c>
      <c r="H14" s="292" t="s">
        <v>88</v>
      </c>
      <c r="I14" s="293" t="s">
        <v>112</v>
      </c>
      <c r="L14" s="289"/>
    </row>
    <row r="15" spans="1:12" x14ac:dyDescent="0.35">
      <c r="A15" s="388"/>
      <c r="B15" s="323" t="s">
        <v>120</v>
      </c>
      <c r="C15" s="324">
        <f>100*A2/16.2*0.857</f>
        <v>0</v>
      </c>
      <c r="D15" s="324">
        <f>100*A2/16.2*0.714</f>
        <v>0</v>
      </c>
      <c r="E15" s="324">
        <f>100*A2/16.2*0.571</f>
        <v>0</v>
      </c>
      <c r="F15" s="324">
        <f>100*A2/16.2*0.429</f>
        <v>0</v>
      </c>
      <c r="G15" s="324">
        <f>100*A2/16.2*0.286</f>
        <v>0</v>
      </c>
      <c r="H15" s="324">
        <f>100*A2/16.2*0.143</f>
        <v>0</v>
      </c>
      <c r="I15" s="325">
        <f>100*A2/16.2*0</f>
        <v>0</v>
      </c>
      <c r="L15" s="289"/>
    </row>
    <row r="16" spans="1:12" x14ac:dyDescent="0.35">
      <c r="A16" s="388"/>
      <c r="B16" s="326" t="s">
        <v>92</v>
      </c>
      <c r="C16" s="327">
        <f>100*A2/13.5*0.143</f>
        <v>0</v>
      </c>
      <c r="D16" s="327">
        <f>100*A2/13.5*0.286</f>
        <v>0</v>
      </c>
      <c r="E16" s="327">
        <f>100*A2/13.5*0.429</f>
        <v>0</v>
      </c>
      <c r="F16" s="327">
        <f>100*A2/13.5*0.571</f>
        <v>0</v>
      </c>
      <c r="G16" s="327">
        <f>100*A2/13.5*0.714</f>
        <v>0</v>
      </c>
      <c r="H16" s="327">
        <f>100*A2/13.5*0.857</f>
        <v>0</v>
      </c>
      <c r="I16" s="328">
        <f>100*A2/13.5*1</f>
        <v>0</v>
      </c>
      <c r="L16" s="289"/>
    </row>
    <row r="17" spans="1:12" x14ac:dyDescent="0.35">
      <c r="A17" s="388"/>
      <c r="B17" s="320" t="s">
        <v>102</v>
      </c>
      <c r="C17" s="321">
        <f t="shared" ref="C17:I17" si="2">(C15*500/100)+(C16*473/100)</f>
        <v>0</v>
      </c>
      <c r="D17" s="321">
        <f t="shared" si="2"/>
        <v>0</v>
      </c>
      <c r="E17" s="321">
        <f t="shared" si="2"/>
        <v>0</v>
      </c>
      <c r="F17" s="321">
        <f t="shared" si="2"/>
        <v>0</v>
      </c>
      <c r="G17" s="321">
        <f t="shared" si="2"/>
        <v>0</v>
      </c>
      <c r="H17" s="321">
        <f t="shared" si="2"/>
        <v>0</v>
      </c>
      <c r="I17" s="321">
        <f t="shared" si="2"/>
        <v>0</v>
      </c>
      <c r="L17" s="289"/>
    </row>
    <row r="18" spans="1:12" ht="15" thickBot="1" x14ac:dyDescent="0.4">
      <c r="A18" s="389"/>
      <c r="B18" s="305" t="s">
        <v>24</v>
      </c>
      <c r="C18" s="317">
        <f t="shared" ref="C18:I18" si="3">C16*5.3/100</f>
        <v>0</v>
      </c>
      <c r="D18" s="317">
        <f t="shared" si="3"/>
        <v>0</v>
      </c>
      <c r="E18" s="317">
        <f t="shared" si="3"/>
        <v>0</v>
      </c>
      <c r="F18" s="317">
        <f t="shared" si="3"/>
        <v>0</v>
      </c>
      <c r="G18" s="317">
        <f t="shared" si="3"/>
        <v>0</v>
      </c>
      <c r="H18" s="317">
        <f t="shared" si="3"/>
        <v>0</v>
      </c>
      <c r="I18" s="318">
        <f t="shared" si="3"/>
        <v>0</v>
      </c>
      <c r="J18" s="303" t="s">
        <v>59</v>
      </c>
      <c r="L18" s="289"/>
    </row>
    <row r="19" spans="1:12" x14ac:dyDescent="0.35">
      <c r="A19" s="290"/>
      <c r="B19" s="303"/>
      <c r="C19" s="306"/>
      <c r="D19" s="306"/>
      <c r="E19" s="306"/>
      <c r="F19" s="306"/>
      <c r="G19" s="306"/>
      <c r="H19" s="306"/>
      <c r="I19" s="306"/>
      <c r="L19" s="289"/>
    </row>
    <row r="20" spans="1:12" ht="15" thickBot="1" x14ac:dyDescent="0.4">
      <c r="A20" s="290"/>
      <c r="L20" s="289"/>
    </row>
    <row r="21" spans="1:12" x14ac:dyDescent="0.35">
      <c r="A21" s="376" t="s">
        <v>97</v>
      </c>
      <c r="B21" s="379" t="s">
        <v>98</v>
      </c>
      <c r="C21" s="379"/>
      <c r="D21" s="379"/>
      <c r="E21" s="379"/>
      <c r="F21" s="380"/>
      <c r="L21" s="289"/>
    </row>
    <row r="22" spans="1:12" x14ac:dyDescent="0.35">
      <c r="A22" s="377"/>
      <c r="B22" s="307"/>
      <c r="C22" s="292" t="s">
        <v>83</v>
      </c>
      <c r="D22" s="292" t="s">
        <v>84</v>
      </c>
      <c r="E22" s="292" t="s">
        <v>85</v>
      </c>
      <c r="F22" s="293" t="s">
        <v>86</v>
      </c>
      <c r="L22" s="289"/>
    </row>
    <row r="23" spans="1:12" x14ac:dyDescent="0.35">
      <c r="A23" s="377"/>
      <c r="B23" s="323" t="s">
        <v>120</v>
      </c>
      <c r="C23" s="324">
        <f>100*A2/16.2*0.75</f>
        <v>0</v>
      </c>
      <c r="D23" s="324">
        <f>100*A2/16.2*0.5</f>
        <v>0</v>
      </c>
      <c r="E23" s="324">
        <f>100*A2/16.2*0.25</f>
        <v>0</v>
      </c>
      <c r="F23" s="325">
        <f>100/16.2*A2*0</f>
        <v>0</v>
      </c>
      <c r="L23" s="289"/>
    </row>
    <row r="24" spans="1:12" x14ac:dyDescent="0.35">
      <c r="A24" s="377"/>
      <c r="B24" s="326" t="s">
        <v>92</v>
      </c>
      <c r="C24" s="327">
        <f>100*A2/13.5*0.25</f>
        <v>0</v>
      </c>
      <c r="D24" s="327">
        <f>100*A2/13.5*0.5</f>
        <v>0</v>
      </c>
      <c r="E24" s="327">
        <f>100*A2/13.5*0.75</f>
        <v>0</v>
      </c>
      <c r="F24" s="328">
        <f>100*A2/13.5*1</f>
        <v>0</v>
      </c>
      <c r="L24" s="289"/>
    </row>
    <row r="25" spans="1:12" x14ac:dyDescent="0.35">
      <c r="A25" s="377"/>
      <c r="B25" s="320" t="s">
        <v>102</v>
      </c>
      <c r="C25" s="321">
        <f>(C23*500/100)+(C24*473/100)</f>
        <v>0</v>
      </c>
      <c r="D25" s="321">
        <f>(D23*500/100)+(D24*473/100)</f>
        <v>0</v>
      </c>
      <c r="E25" s="321">
        <f>(E23*500/100)+(E24*473/100)</f>
        <v>0</v>
      </c>
      <c r="F25" s="321">
        <f>(F23*500/100)+(F24*473/100)</f>
        <v>0</v>
      </c>
      <c r="L25" s="289"/>
    </row>
    <row r="26" spans="1:12" ht="15" thickBot="1" x14ac:dyDescent="0.4">
      <c r="A26" s="378"/>
      <c r="B26" s="305" t="s">
        <v>24</v>
      </c>
      <c r="C26" s="317">
        <f>C24*5.3/100</f>
        <v>0</v>
      </c>
      <c r="D26" s="317">
        <f>D24*5.3/100</f>
        <v>0</v>
      </c>
      <c r="E26" s="317">
        <f>E24*5.3/100</f>
        <v>0</v>
      </c>
      <c r="F26" s="318">
        <f>F24*5.3/100</f>
        <v>0</v>
      </c>
      <c r="L26" s="289"/>
    </row>
    <row r="27" spans="1:12" x14ac:dyDescent="0.35">
      <c r="A27" s="290"/>
      <c r="L27" s="289"/>
    </row>
    <row r="28" spans="1:12" ht="15" thickBot="1" x14ac:dyDescent="0.4">
      <c r="A28" s="310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8"/>
    </row>
    <row r="29" spans="1:12" x14ac:dyDescent="0.35">
      <c r="A29" t="s">
        <v>1</v>
      </c>
    </row>
    <row r="30" spans="1:12" x14ac:dyDescent="0.35">
      <c r="A30" s="346" t="s">
        <v>135</v>
      </c>
    </row>
    <row r="31" spans="1:12" x14ac:dyDescent="0.35">
      <c r="B31" s="394"/>
      <c r="C31" s="394"/>
      <c r="D31" s="394"/>
      <c r="E31" s="394"/>
      <c r="F31" s="394"/>
      <c r="G31" s="394"/>
      <c r="H31" s="394"/>
    </row>
    <row r="32" spans="1:12" x14ac:dyDescent="0.35">
      <c r="A32" s="274" t="s">
        <v>122</v>
      </c>
    </row>
    <row r="33" spans="1:1" x14ac:dyDescent="0.35">
      <c r="A33" s="311" t="s">
        <v>124</v>
      </c>
    </row>
  </sheetData>
  <sheetProtection algorithmName="SHA-512" hashValue="OWt/5rJqKgI1I3cnQpLnD+GH3CMBbxK8SEEDy+KIEgs1v9ZE4n6XZrRqrj4iYwjSe2AU3iYIyp2AcF6lc0wkIg==" saltValue="H7WERf2Vaz14HsqSWbKGOw==" spinCount="100000" sheet="1" objects="1" scenarios="1"/>
  <mergeCells count="9">
    <mergeCell ref="A21:A26"/>
    <mergeCell ref="B21:F21"/>
    <mergeCell ref="B31:H31"/>
    <mergeCell ref="D1:J2"/>
    <mergeCell ref="A1:B1"/>
    <mergeCell ref="A5:A10"/>
    <mergeCell ref="B5:L5"/>
    <mergeCell ref="A13:A18"/>
    <mergeCell ref="B13:I13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63936-7B93-4574-A2E7-7DB575CE7D65}">
  <sheetPr>
    <tabColor theme="8" tint="-0.249977111117893"/>
  </sheetPr>
  <dimension ref="A1:L35"/>
  <sheetViews>
    <sheetView showGridLines="0" zoomScale="80" zoomScaleNormal="80" workbookViewId="0">
      <selection activeCell="A36" sqref="A36"/>
    </sheetView>
  </sheetViews>
  <sheetFormatPr defaultColWidth="9.1796875" defaultRowHeight="14.5" x14ac:dyDescent="0.35"/>
  <cols>
    <col min="1" max="1" width="20.26953125" customWidth="1"/>
    <col min="2" max="2" width="21.453125" customWidth="1"/>
    <col min="13" max="13" width="4.26953125" customWidth="1"/>
  </cols>
  <sheetData>
    <row r="1" spans="1:12" ht="45" customHeight="1" x14ac:dyDescent="0.35">
      <c r="A1" s="381" t="s">
        <v>79</v>
      </c>
      <c r="B1" s="382"/>
      <c r="C1" s="287"/>
      <c r="D1" s="390" t="s">
        <v>121</v>
      </c>
      <c r="E1" s="390"/>
      <c r="F1" s="390"/>
      <c r="G1" s="390"/>
      <c r="H1" s="390"/>
      <c r="I1" s="390"/>
      <c r="J1" s="390"/>
      <c r="K1" s="287"/>
      <c r="L1" s="288"/>
    </row>
    <row r="2" spans="1:12" ht="45" customHeight="1" thickBot="1" x14ac:dyDescent="0.4">
      <c r="A2" s="1">
        <v>0</v>
      </c>
      <c r="D2" s="393"/>
      <c r="E2" s="393"/>
      <c r="F2" s="393"/>
      <c r="G2" s="393"/>
      <c r="H2" s="393"/>
      <c r="I2" s="393"/>
      <c r="J2" s="393"/>
      <c r="L2" s="289"/>
    </row>
    <row r="3" spans="1:12" x14ac:dyDescent="0.35">
      <c r="A3" s="290"/>
      <c r="L3" s="289"/>
    </row>
    <row r="4" spans="1:12" ht="15" thickBot="1" x14ac:dyDescent="0.4">
      <c r="A4" s="290"/>
      <c r="L4" s="289"/>
    </row>
    <row r="5" spans="1:12" x14ac:dyDescent="0.35">
      <c r="A5" s="383" t="s">
        <v>111</v>
      </c>
      <c r="B5" s="379" t="s">
        <v>82</v>
      </c>
      <c r="C5" s="379"/>
      <c r="D5" s="379"/>
      <c r="E5" s="379"/>
      <c r="F5" s="379"/>
      <c r="G5" s="379"/>
      <c r="H5" s="379"/>
      <c r="I5" s="379"/>
      <c r="J5" s="379"/>
      <c r="K5" s="379"/>
      <c r="L5" s="380"/>
    </row>
    <row r="6" spans="1:12" x14ac:dyDescent="0.35">
      <c r="A6" s="384"/>
      <c r="B6" s="307"/>
      <c r="C6" s="292" t="s">
        <v>83</v>
      </c>
      <c r="D6" s="292" t="s">
        <v>84</v>
      </c>
      <c r="E6" s="292" t="s">
        <v>85</v>
      </c>
      <c r="F6" s="292" t="s">
        <v>86</v>
      </c>
      <c r="G6" s="292" t="s">
        <v>87</v>
      </c>
      <c r="H6" s="292" t="s">
        <v>88</v>
      </c>
      <c r="I6" s="292" t="s">
        <v>112</v>
      </c>
      <c r="J6" s="292" t="s">
        <v>89</v>
      </c>
      <c r="K6" s="292" t="s">
        <v>90</v>
      </c>
      <c r="L6" s="293" t="s">
        <v>91</v>
      </c>
    </row>
    <row r="7" spans="1:12" x14ac:dyDescent="0.35">
      <c r="A7" s="384"/>
      <c r="B7" s="323" t="s">
        <v>120</v>
      </c>
      <c r="C7" s="324">
        <f>100*A2/16.2*0.9</f>
        <v>0</v>
      </c>
      <c r="D7" s="324">
        <f>100*A2/16.2*0.8</f>
        <v>0</v>
      </c>
      <c r="E7" s="324">
        <f>100*A2/16.2*0.7</f>
        <v>0</v>
      </c>
      <c r="F7" s="324">
        <f>100*A2/16.2*0.6</f>
        <v>0</v>
      </c>
      <c r="G7" s="324">
        <f>100*A2/16.2*0.5</f>
        <v>0</v>
      </c>
      <c r="H7" s="324">
        <f>100*A2/16.2*0.4</f>
        <v>0</v>
      </c>
      <c r="I7" s="324">
        <f>100*A2/16.2*0.3</f>
        <v>0</v>
      </c>
      <c r="J7" s="324">
        <f>100*A2/16.2*0.2</f>
        <v>0</v>
      </c>
      <c r="K7" s="324">
        <f>100*A2/16.2*0.1</f>
        <v>0</v>
      </c>
      <c r="L7" s="325">
        <f>100*A2/16.2*0</f>
        <v>0</v>
      </c>
    </row>
    <row r="8" spans="1:12" x14ac:dyDescent="0.35">
      <c r="A8" s="384"/>
      <c r="B8" s="329" t="s">
        <v>93</v>
      </c>
      <c r="C8" s="298">
        <f>100*A2/28*0.1</f>
        <v>0</v>
      </c>
      <c r="D8" s="298">
        <f>100*A2/28*0.2</f>
        <v>0</v>
      </c>
      <c r="E8" s="298">
        <f>100*A2/28*0.3</f>
        <v>0</v>
      </c>
      <c r="F8" s="298">
        <f>100*A2/28*0.4</f>
        <v>0</v>
      </c>
      <c r="G8" s="298">
        <f>100*A2/28*0.5</f>
        <v>0</v>
      </c>
      <c r="H8" s="298">
        <f>100*A2/28*0.6</f>
        <v>0</v>
      </c>
      <c r="I8" s="298">
        <f>100*A2/28*0.7</f>
        <v>0</v>
      </c>
      <c r="J8" s="298">
        <f>100*A2/28*0.8</f>
        <v>0</v>
      </c>
      <c r="K8" s="298">
        <f>100*A2/28*0.9</f>
        <v>0</v>
      </c>
      <c r="L8" s="299">
        <f>100*A2/28*1</f>
        <v>0</v>
      </c>
    </row>
    <row r="9" spans="1:12" x14ac:dyDescent="0.35">
      <c r="A9" s="384"/>
      <c r="B9" s="320" t="s">
        <v>94</v>
      </c>
      <c r="C9" s="321">
        <f t="shared" ref="C9:L9" si="0">(C7*500/100)+(C8*385/100)</f>
        <v>0</v>
      </c>
      <c r="D9" s="321">
        <f t="shared" si="0"/>
        <v>0</v>
      </c>
      <c r="E9" s="321">
        <f t="shared" si="0"/>
        <v>0</v>
      </c>
      <c r="F9" s="321">
        <f t="shared" si="0"/>
        <v>0</v>
      </c>
      <c r="G9" s="321">
        <f t="shared" si="0"/>
        <v>0</v>
      </c>
      <c r="H9" s="321">
        <f t="shared" si="0"/>
        <v>0</v>
      </c>
      <c r="I9" s="321">
        <f t="shared" si="0"/>
        <v>0</v>
      </c>
      <c r="J9" s="321">
        <f t="shared" si="0"/>
        <v>0</v>
      </c>
      <c r="K9" s="321">
        <f t="shared" si="0"/>
        <v>0</v>
      </c>
      <c r="L9" s="321">
        <f t="shared" si="0"/>
        <v>0</v>
      </c>
    </row>
    <row r="10" spans="1:12" ht="15" thickBot="1" x14ac:dyDescent="0.4">
      <c r="A10" s="385"/>
      <c r="B10" s="305" t="s">
        <v>24</v>
      </c>
      <c r="C10" s="317">
        <f t="shared" ref="C10:L10" si="1">C8*11.2/100</f>
        <v>0</v>
      </c>
      <c r="D10" s="317">
        <f t="shared" si="1"/>
        <v>0</v>
      </c>
      <c r="E10" s="317">
        <f t="shared" si="1"/>
        <v>0</v>
      </c>
      <c r="F10" s="317">
        <f t="shared" si="1"/>
        <v>0</v>
      </c>
      <c r="G10" s="317">
        <f t="shared" si="1"/>
        <v>0</v>
      </c>
      <c r="H10" s="317">
        <f t="shared" si="1"/>
        <v>0</v>
      </c>
      <c r="I10" s="317">
        <f t="shared" si="1"/>
        <v>0</v>
      </c>
      <c r="J10" s="317">
        <f t="shared" si="1"/>
        <v>0</v>
      </c>
      <c r="K10" s="317">
        <f t="shared" si="1"/>
        <v>0</v>
      </c>
      <c r="L10" s="317">
        <f t="shared" si="1"/>
        <v>0</v>
      </c>
    </row>
    <row r="11" spans="1:12" x14ac:dyDescent="0.35">
      <c r="A11" s="290"/>
      <c r="B11" s="303"/>
      <c r="C11" s="304"/>
      <c r="D11" s="304"/>
      <c r="E11" s="304"/>
      <c r="F11" s="304"/>
      <c r="L11" s="289"/>
    </row>
    <row r="12" spans="1:12" ht="15" thickBot="1" x14ac:dyDescent="0.4">
      <c r="A12" s="290"/>
      <c r="L12" s="289"/>
    </row>
    <row r="13" spans="1:12" x14ac:dyDescent="0.35">
      <c r="A13" s="387" t="s">
        <v>114</v>
      </c>
      <c r="B13" s="379" t="s">
        <v>115</v>
      </c>
      <c r="C13" s="379"/>
      <c r="D13" s="379"/>
      <c r="E13" s="379"/>
      <c r="F13" s="379"/>
      <c r="G13" s="379"/>
      <c r="H13" s="379"/>
      <c r="I13" s="380"/>
      <c r="L13" s="289"/>
    </row>
    <row r="14" spans="1:12" x14ac:dyDescent="0.35">
      <c r="A14" s="388"/>
      <c r="B14" s="307"/>
      <c r="C14" s="292" t="s">
        <v>83</v>
      </c>
      <c r="D14" s="292" t="s">
        <v>84</v>
      </c>
      <c r="E14" s="292" t="s">
        <v>85</v>
      </c>
      <c r="F14" s="292" t="s">
        <v>86</v>
      </c>
      <c r="G14" s="292" t="s">
        <v>87</v>
      </c>
      <c r="H14" s="292" t="s">
        <v>88</v>
      </c>
      <c r="I14" s="293" t="s">
        <v>112</v>
      </c>
      <c r="L14" s="289"/>
    </row>
    <row r="15" spans="1:12" x14ac:dyDescent="0.35">
      <c r="A15" s="388"/>
      <c r="B15" s="323" t="s">
        <v>120</v>
      </c>
      <c r="C15" s="324">
        <f>100*A2/16.2*0.857</f>
        <v>0</v>
      </c>
      <c r="D15" s="324">
        <f>100*A2/16.2*0.714</f>
        <v>0</v>
      </c>
      <c r="E15" s="324">
        <f>100*A2/16.2*0.571</f>
        <v>0</v>
      </c>
      <c r="F15" s="324">
        <f>100*A2/16.2*0.429</f>
        <v>0</v>
      </c>
      <c r="G15" s="324">
        <f>100*A2/16.2*0.286</f>
        <v>0</v>
      </c>
      <c r="H15" s="324">
        <f>100*A2/16.2*0.143</f>
        <v>0</v>
      </c>
      <c r="I15" s="325">
        <f>100*A2/16.2*0</f>
        <v>0</v>
      </c>
      <c r="L15" s="289"/>
    </row>
    <row r="16" spans="1:12" x14ac:dyDescent="0.35">
      <c r="A16" s="388"/>
      <c r="B16" s="329" t="s">
        <v>93</v>
      </c>
      <c r="C16" s="298">
        <f>100*A2/28*0.143</f>
        <v>0</v>
      </c>
      <c r="D16" s="298">
        <f>100*A2/28*0.286</f>
        <v>0</v>
      </c>
      <c r="E16" s="298">
        <f>100*A2/28*0.429</f>
        <v>0</v>
      </c>
      <c r="F16" s="298">
        <f>100*A2/28*0.571</f>
        <v>0</v>
      </c>
      <c r="G16" s="298">
        <f>100*A2/28*0.714</f>
        <v>0</v>
      </c>
      <c r="H16" s="298">
        <f>100*A2/28*0.857</f>
        <v>0</v>
      </c>
      <c r="I16" s="299">
        <f>100*A2/28*1</f>
        <v>0</v>
      </c>
      <c r="L16" s="289"/>
    </row>
    <row r="17" spans="1:12" x14ac:dyDescent="0.35">
      <c r="A17" s="388"/>
      <c r="B17" s="320" t="s">
        <v>94</v>
      </c>
      <c r="C17" s="321">
        <f t="shared" ref="C17:I17" si="2">(C15*500/100)+(C16*385/100)</f>
        <v>0</v>
      </c>
      <c r="D17" s="321">
        <f t="shared" si="2"/>
        <v>0</v>
      </c>
      <c r="E17" s="321">
        <f t="shared" si="2"/>
        <v>0</v>
      </c>
      <c r="F17" s="321">
        <f t="shared" si="2"/>
        <v>0</v>
      </c>
      <c r="G17" s="321">
        <f t="shared" si="2"/>
        <v>0</v>
      </c>
      <c r="H17" s="321">
        <f t="shared" si="2"/>
        <v>0</v>
      </c>
      <c r="I17" s="321">
        <f t="shared" si="2"/>
        <v>0</v>
      </c>
      <c r="L17" s="289"/>
    </row>
    <row r="18" spans="1:12" ht="15" thickBot="1" x14ac:dyDescent="0.4">
      <c r="A18" s="389"/>
      <c r="B18" s="305" t="s">
        <v>24</v>
      </c>
      <c r="C18" s="317">
        <f t="shared" ref="C18:I18" si="3">C16*11.2/100</f>
        <v>0</v>
      </c>
      <c r="D18" s="317">
        <f t="shared" si="3"/>
        <v>0</v>
      </c>
      <c r="E18" s="317">
        <f t="shared" si="3"/>
        <v>0</v>
      </c>
      <c r="F18" s="317">
        <f t="shared" si="3"/>
        <v>0</v>
      </c>
      <c r="G18" s="317">
        <f t="shared" si="3"/>
        <v>0</v>
      </c>
      <c r="H18" s="317">
        <f t="shared" si="3"/>
        <v>0</v>
      </c>
      <c r="I18" s="317">
        <f t="shared" si="3"/>
        <v>0</v>
      </c>
      <c r="J18" s="303" t="s">
        <v>59</v>
      </c>
      <c r="L18" s="289"/>
    </row>
    <row r="19" spans="1:12" x14ac:dyDescent="0.35">
      <c r="A19" s="290"/>
      <c r="B19" s="303"/>
      <c r="C19" s="306"/>
      <c r="D19" s="306"/>
      <c r="E19" s="306"/>
      <c r="F19" s="306"/>
      <c r="G19" s="306"/>
      <c r="H19" s="306"/>
      <c r="I19" s="306"/>
      <c r="L19" s="289"/>
    </row>
    <row r="20" spans="1:12" ht="15" thickBot="1" x14ac:dyDescent="0.4">
      <c r="A20" s="290"/>
      <c r="L20" s="289"/>
    </row>
    <row r="21" spans="1:12" x14ac:dyDescent="0.35">
      <c r="A21" s="376" t="s">
        <v>97</v>
      </c>
      <c r="B21" s="379" t="s">
        <v>98</v>
      </c>
      <c r="C21" s="379"/>
      <c r="D21" s="379"/>
      <c r="E21" s="379"/>
      <c r="F21" s="380"/>
      <c r="L21" s="289"/>
    </row>
    <row r="22" spans="1:12" x14ac:dyDescent="0.35">
      <c r="A22" s="377"/>
      <c r="B22" s="307"/>
      <c r="C22" s="292" t="s">
        <v>83</v>
      </c>
      <c r="D22" s="292" t="s">
        <v>84</v>
      </c>
      <c r="E22" s="292" t="s">
        <v>85</v>
      </c>
      <c r="F22" s="293" t="s">
        <v>86</v>
      </c>
      <c r="L22" s="289"/>
    </row>
    <row r="23" spans="1:12" x14ac:dyDescent="0.35">
      <c r="A23" s="377"/>
      <c r="B23" s="323" t="s">
        <v>120</v>
      </c>
      <c r="C23" s="324">
        <f>100*A2/16.2*0.75</f>
        <v>0</v>
      </c>
      <c r="D23" s="324">
        <f>100*A2/16.2*0.5</f>
        <v>0</v>
      </c>
      <c r="E23" s="324">
        <f>100*A2/16.2*0.25</f>
        <v>0</v>
      </c>
      <c r="F23" s="325">
        <f>100/16.2*A2*0</f>
        <v>0</v>
      </c>
      <c r="L23" s="289"/>
    </row>
    <row r="24" spans="1:12" x14ac:dyDescent="0.35">
      <c r="A24" s="377"/>
      <c r="B24" s="329" t="s">
        <v>93</v>
      </c>
      <c r="C24" s="298">
        <f>100*A2/28*0.25</f>
        <v>0</v>
      </c>
      <c r="D24" s="298">
        <f>100*A2/28*0.5</f>
        <v>0</v>
      </c>
      <c r="E24" s="298">
        <f>100*A2/28*0.75</f>
        <v>0</v>
      </c>
      <c r="F24" s="299">
        <f>100*A2/28*1</f>
        <v>0</v>
      </c>
      <c r="L24" s="289"/>
    </row>
    <row r="25" spans="1:12" x14ac:dyDescent="0.35">
      <c r="A25" s="377"/>
      <c r="B25" s="320" t="s">
        <v>94</v>
      </c>
      <c r="C25" s="321">
        <f>(C23*500/100)+(C24*385/100)</f>
        <v>0</v>
      </c>
      <c r="D25" s="321">
        <f>(D23*500/100)+(D24*385/100)</f>
        <v>0</v>
      </c>
      <c r="E25" s="321">
        <f>(E23*500/100)+(E24*385/100)</f>
        <v>0</v>
      </c>
      <c r="F25" s="321">
        <f>(F23*500/100)+(F24*385/100)</f>
        <v>0</v>
      </c>
      <c r="L25" s="289"/>
    </row>
    <row r="26" spans="1:12" ht="15" thickBot="1" x14ac:dyDescent="0.4">
      <c r="A26" s="378"/>
      <c r="B26" s="305" t="s">
        <v>24</v>
      </c>
      <c r="C26" s="317">
        <f>C24*11.2/100</f>
        <v>0</v>
      </c>
      <c r="D26" s="317">
        <f>D24*11.2/100</f>
        <v>0</v>
      </c>
      <c r="E26" s="317">
        <f>E24*11.2/100</f>
        <v>0</v>
      </c>
      <c r="F26" s="317">
        <f>F24*11.2/100</f>
        <v>0</v>
      </c>
      <c r="L26" s="289"/>
    </row>
    <row r="27" spans="1:12" x14ac:dyDescent="0.35">
      <c r="A27" s="290"/>
      <c r="L27" s="289"/>
    </row>
    <row r="28" spans="1:12" ht="15" thickBot="1" x14ac:dyDescent="0.4">
      <c r="A28" s="310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8"/>
    </row>
    <row r="29" spans="1:12" x14ac:dyDescent="0.35">
      <c r="A29" t="s">
        <v>137</v>
      </c>
    </row>
    <row r="30" spans="1:12" x14ac:dyDescent="0.35">
      <c r="A30" t="s">
        <v>138</v>
      </c>
    </row>
    <row r="31" spans="1:12" ht="7.5" customHeight="1" x14ac:dyDescent="0.35"/>
    <row r="32" spans="1:12" x14ac:dyDescent="0.35">
      <c r="A32" t="s">
        <v>136</v>
      </c>
    </row>
    <row r="33" spans="1:8" ht="8.25" customHeight="1" x14ac:dyDescent="0.35">
      <c r="B33" s="394"/>
      <c r="C33" s="394"/>
      <c r="D33" s="394"/>
      <c r="E33" s="394"/>
      <c r="F33" s="394"/>
      <c r="G33" s="394"/>
      <c r="H33" s="394"/>
    </row>
    <row r="34" spans="1:8" x14ac:dyDescent="0.35">
      <c r="A34" s="274" t="s">
        <v>123</v>
      </c>
    </row>
    <row r="35" spans="1:8" x14ac:dyDescent="0.35">
      <c r="A35" s="311" t="s">
        <v>124</v>
      </c>
    </row>
  </sheetData>
  <sheetProtection algorithmName="SHA-512" hashValue="JjZwqQpCulLc2JpzxLPKMvRhVJchDD/OsgCXT0KMtb6XNYQiqSOwmNWsCW//c0pvlX9u8HrgU6j0Xp9Hu8Rzsw==" saltValue="Pj5ECq4FZIYctOWHun4QwQ==" spinCount="100000" sheet="1" objects="1" scenarios="1"/>
  <mergeCells count="9">
    <mergeCell ref="A21:A26"/>
    <mergeCell ref="B21:F21"/>
    <mergeCell ref="B33:H33"/>
    <mergeCell ref="D1:J2"/>
    <mergeCell ref="A1:B1"/>
    <mergeCell ref="A5:A10"/>
    <mergeCell ref="B5:L5"/>
    <mergeCell ref="A13:A18"/>
    <mergeCell ref="B13:I1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</sheetPr>
  <dimension ref="A1:H51"/>
  <sheetViews>
    <sheetView showGridLines="0" zoomScale="90" zoomScaleNormal="90" workbookViewId="0">
      <selection activeCell="C2" sqref="C2:H2"/>
    </sheetView>
  </sheetViews>
  <sheetFormatPr defaultColWidth="9.1796875" defaultRowHeight="14.5" x14ac:dyDescent="0.35"/>
  <cols>
    <col min="1" max="1" width="26.1796875" customWidth="1"/>
    <col min="2" max="2" width="14.26953125" customWidth="1"/>
    <col min="3" max="8" width="12.26953125" customWidth="1"/>
    <col min="9" max="9" width="4.26953125" customWidth="1"/>
  </cols>
  <sheetData>
    <row r="1" spans="1:8" ht="15" thickBot="1" x14ac:dyDescent="0.4">
      <c r="A1" s="358" t="s">
        <v>2</v>
      </c>
      <c r="B1" s="359"/>
      <c r="C1" s="359"/>
      <c r="D1" s="359"/>
      <c r="E1" s="359"/>
      <c r="F1" s="359"/>
      <c r="G1" s="270"/>
      <c r="H1" s="271"/>
    </row>
    <row r="2" spans="1:8" ht="75" customHeight="1" thickBot="1" x14ac:dyDescent="0.4">
      <c r="A2" s="24" t="s">
        <v>3</v>
      </c>
      <c r="B2" s="25">
        <v>0</v>
      </c>
      <c r="C2" s="366" t="s">
        <v>4</v>
      </c>
      <c r="D2" s="367"/>
      <c r="E2" s="367"/>
      <c r="F2" s="367"/>
      <c r="G2" s="367"/>
      <c r="H2" s="368"/>
    </row>
    <row r="3" spans="1:8" ht="45" customHeight="1" thickBot="1" x14ac:dyDescent="0.5">
      <c r="A3" s="360" t="s">
        <v>124</v>
      </c>
      <c r="B3" s="361"/>
      <c r="C3" s="26" t="s">
        <v>5</v>
      </c>
      <c r="D3" s="26" t="s">
        <v>6</v>
      </c>
      <c r="E3" s="27" t="s">
        <v>7</v>
      </c>
      <c r="F3" s="27" t="s">
        <v>8</v>
      </c>
      <c r="G3" s="152" t="s">
        <v>9</v>
      </c>
      <c r="H3" s="152" t="s">
        <v>10</v>
      </c>
    </row>
    <row r="4" spans="1:8" x14ac:dyDescent="0.35">
      <c r="A4" s="116" t="s">
        <v>11</v>
      </c>
      <c r="B4" s="117">
        <f>B2*100/13.5</f>
        <v>0</v>
      </c>
      <c r="C4" s="118"/>
      <c r="D4" s="119"/>
      <c r="E4" s="118"/>
      <c r="F4" s="120"/>
      <c r="G4" s="132"/>
      <c r="H4" s="121"/>
    </row>
    <row r="5" spans="1:8" x14ac:dyDescent="0.35">
      <c r="A5" s="29" t="s">
        <v>12</v>
      </c>
      <c r="B5" s="30">
        <f>20/100*B4</f>
        <v>0</v>
      </c>
      <c r="C5" s="31"/>
      <c r="D5" s="32"/>
      <c r="E5" s="31"/>
      <c r="F5" s="33"/>
      <c r="G5" s="128"/>
      <c r="H5" s="115"/>
    </row>
    <row r="6" spans="1:8" x14ac:dyDescent="0.35">
      <c r="A6" s="35" t="s">
        <v>13</v>
      </c>
      <c r="B6" s="36">
        <f>473/100*B4</f>
        <v>0</v>
      </c>
      <c r="C6" s="37"/>
      <c r="D6" s="38"/>
      <c r="E6" s="37"/>
      <c r="F6" s="39"/>
      <c r="G6" s="129"/>
      <c r="H6" s="40"/>
    </row>
    <row r="7" spans="1:8" x14ac:dyDescent="0.35">
      <c r="A7" s="41" t="s">
        <v>14</v>
      </c>
      <c r="B7" s="42">
        <f>13.5/100*B4</f>
        <v>0</v>
      </c>
      <c r="C7" s="43">
        <v>9.1</v>
      </c>
      <c r="D7" s="44">
        <f>B7/C7</f>
        <v>0</v>
      </c>
      <c r="E7" s="45">
        <v>11</v>
      </c>
      <c r="F7" s="137">
        <f>B7/E7</f>
        <v>0</v>
      </c>
      <c r="G7" s="140">
        <v>13</v>
      </c>
      <c r="H7" s="52">
        <f>B7/G7</f>
        <v>0</v>
      </c>
    </row>
    <row r="8" spans="1:8" ht="14.25" customHeight="1" x14ac:dyDescent="0.35">
      <c r="A8" s="35" t="s">
        <v>15</v>
      </c>
      <c r="B8" s="36">
        <f>23/100*B4</f>
        <v>0</v>
      </c>
      <c r="C8" s="37">
        <v>31</v>
      </c>
      <c r="D8" s="38">
        <f>B8/C8</f>
        <v>0</v>
      </c>
      <c r="E8" s="37">
        <v>30</v>
      </c>
      <c r="F8" s="46">
        <f>B8/E8</f>
        <v>0</v>
      </c>
      <c r="G8" s="129" t="s">
        <v>16</v>
      </c>
      <c r="H8" s="40"/>
    </row>
    <row r="9" spans="1:8" x14ac:dyDescent="0.35">
      <c r="A9" s="122" t="s">
        <v>17</v>
      </c>
      <c r="B9" s="48">
        <f>7.5/100*B4</f>
        <v>0</v>
      </c>
      <c r="C9" s="49"/>
      <c r="D9" s="50"/>
      <c r="E9" s="49"/>
      <c r="F9" s="51"/>
      <c r="G9" s="130"/>
      <c r="H9" s="52"/>
    </row>
    <row r="10" spans="1:8" x14ac:dyDescent="0.35">
      <c r="A10" s="123" t="s">
        <v>18</v>
      </c>
      <c r="B10" s="53">
        <f>9.4/100*B4</f>
        <v>0</v>
      </c>
      <c r="C10" s="54"/>
      <c r="D10" s="55"/>
      <c r="E10" s="54"/>
      <c r="F10" s="56"/>
      <c r="G10" s="134"/>
      <c r="H10" s="57"/>
    </row>
    <row r="11" spans="1:8" x14ac:dyDescent="0.35">
      <c r="A11" s="122" t="s">
        <v>19</v>
      </c>
      <c r="B11" s="48">
        <f>5/100*B4</f>
        <v>0</v>
      </c>
      <c r="C11" s="49"/>
      <c r="D11" s="50"/>
      <c r="E11" s="49"/>
      <c r="F11" s="51"/>
      <c r="G11" s="130"/>
      <c r="H11" s="52"/>
    </row>
    <row r="12" spans="1:8" x14ac:dyDescent="0.35">
      <c r="A12" s="124" t="s">
        <v>20</v>
      </c>
      <c r="B12" s="59">
        <f>70/100*B4</f>
        <v>0</v>
      </c>
      <c r="C12" s="60"/>
      <c r="D12" s="61"/>
      <c r="E12" s="60"/>
      <c r="F12" s="62"/>
      <c r="G12" s="135"/>
      <c r="H12" s="63"/>
    </row>
    <row r="13" spans="1:8" x14ac:dyDescent="0.35">
      <c r="A13" s="125" t="s">
        <v>21</v>
      </c>
      <c r="B13" s="64">
        <f>140/100*B4</f>
        <v>0</v>
      </c>
      <c r="C13" s="65"/>
      <c r="D13" s="66"/>
      <c r="E13" s="65"/>
      <c r="F13" s="67"/>
      <c r="G13" s="136"/>
      <c r="H13" s="68"/>
    </row>
    <row r="14" spans="1:8" x14ac:dyDescent="0.35">
      <c r="A14" s="126" t="s">
        <v>22</v>
      </c>
      <c r="B14" s="69">
        <f>3500/100*B4</f>
        <v>0</v>
      </c>
      <c r="C14" s="70">
        <v>4400</v>
      </c>
      <c r="D14" s="71">
        <f>B14/C14</f>
        <v>0</v>
      </c>
      <c r="E14" s="70">
        <v>4600</v>
      </c>
      <c r="F14" s="72">
        <f>B14/E14</f>
        <v>0</v>
      </c>
      <c r="G14" s="139">
        <v>7000</v>
      </c>
      <c r="H14" s="63">
        <f>B14/G14</f>
        <v>0</v>
      </c>
    </row>
    <row r="15" spans="1:8" x14ac:dyDescent="0.35">
      <c r="A15" s="73" t="s">
        <v>23</v>
      </c>
      <c r="B15" s="74">
        <f>53/100*B4</f>
        <v>0</v>
      </c>
      <c r="C15" s="75">
        <v>60</v>
      </c>
      <c r="D15" s="76">
        <f>B15/C15</f>
        <v>0</v>
      </c>
      <c r="E15" s="75">
        <v>95</v>
      </c>
      <c r="F15" s="76">
        <f>B15/E15</f>
        <v>0</v>
      </c>
      <c r="G15" s="138">
        <v>130</v>
      </c>
      <c r="H15" s="77">
        <f>B15/G15</f>
        <v>0</v>
      </c>
    </row>
    <row r="16" spans="1:8" ht="15" thickBot="1" x14ac:dyDescent="0.4">
      <c r="A16" s="127" t="s">
        <v>24</v>
      </c>
      <c r="B16" s="78">
        <f>5.3/100*B4</f>
        <v>0</v>
      </c>
      <c r="C16" s="79" t="s">
        <v>16</v>
      </c>
      <c r="D16" s="80"/>
      <c r="E16" s="79" t="s">
        <v>16</v>
      </c>
      <c r="F16" s="81"/>
      <c r="G16" s="162">
        <v>19</v>
      </c>
      <c r="H16" s="82">
        <f>B16/G16</f>
        <v>0</v>
      </c>
    </row>
    <row r="17" spans="1:8" ht="38.25" customHeight="1" thickBot="1" x14ac:dyDescent="0.4">
      <c r="A17" s="362" t="s">
        <v>25</v>
      </c>
      <c r="B17" s="363"/>
      <c r="C17" s="83" t="s">
        <v>5</v>
      </c>
      <c r="D17" s="83" t="s">
        <v>6</v>
      </c>
      <c r="E17" s="28" t="s">
        <v>7</v>
      </c>
      <c r="F17" s="84" t="s">
        <v>8</v>
      </c>
      <c r="G17" s="152" t="s">
        <v>9</v>
      </c>
      <c r="H17" s="153" t="s">
        <v>10</v>
      </c>
    </row>
    <row r="18" spans="1:8" x14ac:dyDescent="0.35">
      <c r="A18" s="29" t="s">
        <v>26</v>
      </c>
      <c r="B18" s="30">
        <f>392/100*B4</f>
        <v>0</v>
      </c>
      <c r="C18" s="31">
        <v>400</v>
      </c>
      <c r="D18" s="32">
        <f t="shared" ref="D18:D44" si="0">B18/C18</f>
        <v>0</v>
      </c>
      <c r="E18" s="31">
        <v>500</v>
      </c>
      <c r="F18" s="85">
        <f t="shared" ref="F18:F31" si="1">B18/E18</f>
        <v>0</v>
      </c>
      <c r="G18" s="141">
        <v>300</v>
      </c>
      <c r="H18" s="34">
        <f t="shared" ref="H18:H31" si="2">B18/G18</f>
        <v>0</v>
      </c>
    </row>
    <row r="19" spans="1:8" x14ac:dyDescent="0.35">
      <c r="A19" s="35" t="s">
        <v>27</v>
      </c>
      <c r="B19" s="36">
        <f>8.7/100*B4</f>
        <v>0</v>
      </c>
      <c r="C19" s="37">
        <v>10</v>
      </c>
      <c r="D19" s="38">
        <f t="shared" si="0"/>
        <v>0</v>
      </c>
      <c r="E19" s="37">
        <v>10</v>
      </c>
      <c r="F19" s="46">
        <f t="shared" si="1"/>
        <v>0</v>
      </c>
      <c r="G19" s="143">
        <v>15</v>
      </c>
      <c r="H19" s="57">
        <f t="shared" si="2"/>
        <v>0</v>
      </c>
    </row>
    <row r="20" spans="1:8" x14ac:dyDescent="0.35">
      <c r="A20" s="47" t="s">
        <v>28</v>
      </c>
      <c r="B20" s="48">
        <f>7.3/100*B4</f>
        <v>0</v>
      </c>
      <c r="C20" s="49">
        <v>4</v>
      </c>
      <c r="D20" s="50">
        <f t="shared" si="0"/>
        <v>0</v>
      </c>
      <c r="E20" s="49">
        <v>5</v>
      </c>
      <c r="F20" s="51">
        <f t="shared" si="1"/>
        <v>0</v>
      </c>
      <c r="G20" s="140">
        <v>6</v>
      </c>
      <c r="H20" s="52">
        <f t="shared" si="2"/>
        <v>0</v>
      </c>
    </row>
    <row r="21" spans="1:8" x14ac:dyDescent="0.35">
      <c r="A21" s="35" t="s">
        <v>29</v>
      </c>
      <c r="B21" s="36">
        <f>38/100*B4</f>
        <v>0</v>
      </c>
      <c r="C21" s="129">
        <v>2</v>
      </c>
      <c r="D21" s="38">
        <f t="shared" si="0"/>
        <v>0</v>
      </c>
      <c r="E21" s="37">
        <v>2.5</v>
      </c>
      <c r="F21" s="46">
        <f t="shared" si="1"/>
        <v>0</v>
      </c>
      <c r="G21" s="144">
        <v>30</v>
      </c>
      <c r="H21" s="57">
        <f t="shared" si="2"/>
        <v>0</v>
      </c>
    </row>
    <row r="22" spans="1:8" x14ac:dyDescent="0.35">
      <c r="A22" s="47" t="s">
        <v>30</v>
      </c>
      <c r="B22" s="86">
        <f>0.5/100*B4</f>
        <v>0</v>
      </c>
      <c r="C22" s="49">
        <v>0.2</v>
      </c>
      <c r="D22" s="50">
        <f t="shared" si="0"/>
        <v>0</v>
      </c>
      <c r="E22" s="49">
        <v>0.3</v>
      </c>
      <c r="F22" s="51">
        <f t="shared" si="1"/>
        <v>0</v>
      </c>
      <c r="G22" s="133">
        <v>0.5</v>
      </c>
      <c r="H22" s="52">
        <f t="shared" si="2"/>
        <v>0</v>
      </c>
    </row>
    <row r="23" spans="1:8" x14ac:dyDescent="0.35">
      <c r="A23" s="35" t="s">
        <v>31</v>
      </c>
      <c r="B23" s="87">
        <f>0.5/100*B4</f>
        <v>0</v>
      </c>
      <c r="C23" s="37">
        <v>0.3</v>
      </c>
      <c r="D23" s="38">
        <f t="shared" si="0"/>
        <v>0</v>
      </c>
      <c r="E23" s="37">
        <v>0.4</v>
      </c>
      <c r="F23" s="46">
        <f t="shared" si="1"/>
        <v>0</v>
      </c>
      <c r="G23" s="142">
        <v>0.5</v>
      </c>
      <c r="H23" s="57">
        <f t="shared" si="2"/>
        <v>0</v>
      </c>
    </row>
    <row r="24" spans="1:8" x14ac:dyDescent="0.35">
      <c r="A24" s="47" t="s">
        <v>32</v>
      </c>
      <c r="B24" s="86">
        <f>0.5/100*B4</f>
        <v>0</v>
      </c>
      <c r="C24" s="49">
        <v>0.1</v>
      </c>
      <c r="D24" s="50">
        <f t="shared" si="0"/>
        <v>0</v>
      </c>
      <c r="E24" s="49">
        <v>0.3</v>
      </c>
      <c r="F24" s="51">
        <f t="shared" si="1"/>
        <v>0</v>
      </c>
      <c r="G24" s="133">
        <v>0.5</v>
      </c>
      <c r="H24" s="52">
        <f t="shared" si="2"/>
        <v>0</v>
      </c>
    </row>
    <row r="25" spans="1:8" x14ac:dyDescent="0.35">
      <c r="A25" s="35" t="s">
        <v>33</v>
      </c>
      <c r="B25" s="87">
        <f>1.2/100*B4</f>
        <v>0</v>
      </c>
      <c r="C25" s="37">
        <v>0.4</v>
      </c>
      <c r="D25" s="38">
        <f t="shared" si="0"/>
        <v>0</v>
      </c>
      <c r="E25" s="37">
        <v>0.5</v>
      </c>
      <c r="F25" s="46">
        <f t="shared" si="1"/>
        <v>0</v>
      </c>
      <c r="G25" s="142">
        <v>0.9</v>
      </c>
      <c r="H25" s="57">
        <f t="shared" si="2"/>
        <v>0</v>
      </c>
    </row>
    <row r="26" spans="1:8" x14ac:dyDescent="0.35">
      <c r="A26" s="47" t="s">
        <v>34</v>
      </c>
      <c r="B26" s="48">
        <f>2.2/100*B4</f>
        <v>0</v>
      </c>
      <c r="C26" s="49">
        <v>2</v>
      </c>
      <c r="D26" s="50">
        <f t="shared" si="0"/>
        <v>0</v>
      </c>
      <c r="E26" s="49">
        <v>4</v>
      </c>
      <c r="F26" s="51">
        <f t="shared" si="1"/>
        <v>0</v>
      </c>
      <c r="G26" s="140">
        <v>6</v>
      </c>
      <c r="H26" s="52">
        <f t="shared" si="2"/>
        <v>0</v>
      </c>
    </row>
    <row r="27" spans="1:8" x14ac:dyDescent="0.35">
      <c r="A27" s="35" t="s">
        <v>35</v>
      </c>
      <c r="B27" s="36">
        <f>55/100*B4</f>
        <v>0</v>
      </c>
      <c r="C27" s="37">
        <v>65</v>
      </c>
      <c r="D27" s="38">
        <f t="shared" si="0"/>
        <v>0</v>
      </c>
      <c r="E27" s="37">
        <v>80</v>
      </c>
      <c r="F27" s="46">
        <f t="shared" si="1"/>
        <v>0</v>
      </c>
      <c r="G27" s="143">
        <v>150</v>
      </c>
      <c r="H27" s="57">
        <f t="shared" si="2"/>
        <v>0</v>
      </c>
    </row>
    <row r="28" spans="1:8" x14ac:dyDescent="0.35">
      <c r="A28" s="47" t="s">
        <v>36</v>
      </c>
      <c r="B28" s="48">
        <f>2.8/100*B4</f>
        <v>0</v>
      </c>
      <c r="C28" s="49">
        <v>1.7</v>
      </c>
      <c r="D28" s="50">
        <f t="shared" si="0"/>
        <v>0</v>
      </c>
      <c r="E28" s="49">
        <v>1.8</v>
      </c>
      <c r="F28" s="51">
        <f t="shared" si="1"/>
        <v>0</v>
      </c>
      <c r="G28" s="145">
        <v>2</v>
      </c>
      <c r="H28" s="52">
        <f t="shared" si="2"/>
        <v>0</v>
      </c>
    </row>
    <row r="29" spans="1:8" x14ac:dyDescent="0.35">
      <c r="A29" s="35" t="s">
        <v>37</v>
      </c>
      <c r="B29" s="36">
        <f>18.2/100*B4</f>
        <v>0</v>
      </c>
      <c r="C29" s="37">
        <v>5</v>
      </c>
      <c r="D29" s="38">
        <f t="shared" si="0"/>
        <v>0</v>
      </c>
      <c r="E29" s="37">
        <v>6</v>
      </c>
      <c r="F29" s="46">
        <f t="shared" si="1"/>
        <v>0</v>
      </c>
      <c r="G29" s="144">
        <v>8</v>
      </c>
      <c r="H29" s="57">
        <f t="shared" si="2"/>
        <v>0</v>
      </c>
    </row>
    <row r="30" spans="1:8" x14ac:dyDescent="0.35">
      <c r="A30" s="47" t="s">
        <v>38</v>
      </c>
      <c r="B30" s="48">
        <f>49/100*B4</f>
        <v>0</v>
      </c>
      <c r="C30" s="49">
        <v>40</v>
      </c>
      <c r="D30" s="50">
        <f t="shared" si="0"/>
        <v>0</v>
      </c>
      <c r="E30" s="49">
        <v>50</v>
      </c>
      <c r="F30" s="51">
        <f t="shared" si="1"/>
        <v>0</v>
      </c>
      <c r="G30" s="140">
        <v>15</v>
      </c>
      <c r="H30" s="52">
        <f t="shared" si="2"/>
        <v>0</v>
      </c>
    </row>
    <row r="31" spans="1:8" x14ac:dyDescent="0.35">
      <c r="A31" s="35" t="s">
        <v>39</v>
      </c>
      <c r="B31" s="36">
        <f>91/100*B4</f>
        <v>0</v>
      </c>
      <c r="C31" s="37">
        <v>125</v>
      </c>
      <c r="D31" s="38">
        <f t="shared" si="0"/>
        <v>0</v>
      </c>
      <c r="E31" s="37">
        <v>150</v>
      </c>
      <c r="F31" s="46">
        <f t="shared" si="1"/>
        <v>0</v>
      </c>
      <c r="G31" s="144">
        <v>200</v>
      </c>
      <c r="H31" s="57">
        <f t="shared" si="2"/>
        <v>0</v>
      </c>
    </row>
    <row r="32" spans="1:8" ht="15" thickBot="1" x14ac:dyDescent="0.4">
      <c r="A32" s="88" t="s">
        <v>40</v>
      </c>
      <c r="B32" s="89">
        <f>98/100*B4</f>
        <v>0</v>
      </c>
      <c r="C32" s="90" t="s">
        <v>16</v>
      </c>
      <c r="D32" s="91"/>
      <c r="E32" s="90" t="s">
        <v>16</v>
      </c>
      <c r="F32" s="92"/>
      <c r="G32" s="131" t="s">
        <v>16</v>
      </c>
      <c r="H32" s="93"/>
    </row>
    <row r="33" spans="1:8" ht="37.5" customHeight="1" thickBot="1" x14ac:dyDescent="0.4">
      <c r="A33" s="364" t="s">
        <v>41</v>
      </c>
      <c r="B33" s="365"/>
      <c r="C33" s="83" t="s">
        <v>5</v>
      </c>
      <c r="D33" s="83" t="s">
        <v>6</v>
      </c>
      <c r="E33" s="28" t="s">
        <v>7</v>
      </c>
      <c r="F33" s="84" t="s">
        <v>8</v>
      </c>
      <c r="G33" s="152" t="s">
        <v>9</v>
      </c>
      <c r="H33" s="154" t="s">
        <v>10</v>
      </c>
    </row>
    <row r="34" spans="1:8" x14ac:dyDescent="0.35">
      <c r="A34" s="29" t="s">
        <v>42</v>
      </c>
      <c r="B34" s="94">
        <f>371/100*B4</f>
        <v>0</v>
      </c>
      <c r="C34" s="95">
        <v>200</v>
      </c>
      <c r="D34" s="96">
        <f t="shared" si="0"/>
        <v>0</v>
      </c>
      <c r="E34" s="95">
        <v>260</v>
      </c>
      <c r="F34" s="97">
        <f t="shared" ref="F34:F44" si="3">B34/E34</f>
        <v>0</v>
      </c>
      <c r="G34" s="151">
        <v>600</v>
      </c>
      <c r="H34" s="98">
        <f t="shared" ref="H34:H47" si="4">B34/G34</f>
        <v>0</v>
      </c>
    </row>
    <row r="35" spans="1:8" x14ac:dyDescent="0.35">
      <c r="A35" s="35" t="s">
        <v>43</v>
      </c>
      <c r="B35" s="53">
        <f>270/100*B4</f>
        <v>0</v>
      </c>
      <c r="C35" s="54">
        <v>100</v>
      </c>
      <c r="D35" s="55">
        <f t="shared" si="0"/>
        <v>0</v>
      </c>
      <c r="E35" s="54">
        <v>275</v>
      </c>
      <c r="F35" s="56">
        <f t="shared" si="3"/>
        <v>0</v>
      </c>
      <c r="G35" s="148">
        <v>460</v>
      </c>
      <c r="H35" s="57">
        <f t="shared" si="4"/>
        <v>0</v>
      </c>
    </row>
    <row r="36" spans="1:8" x14ac:dyDescent="0.35">
      <c r="A36" s="47" t="s">
        <v>44</v>
      </c>
      <c r="B36" s="99">
        <f>52.5/100*B4</f>
        <v>0</v>
      </c>
      <c r="C36" s="100">
        <v>30</v>
      </c>
      <c r="D36" s="101">
        <f t="shared" si="0"/>
        <v>0</v>
      </c>
      <c r="E36" s="100">
        <v>75</v>
      </c>
      <c r="F36" s="102">
        <f t="shared" si="3"/>
        <v>0</v>
      </c>
      <c r="G36" s="149">
        <v>80</v>
      </c>
      <c r="H36" s="103">
        <f t="shared" si="4"/>
        <v>0</v>
      </c>
    </row>
    <row r="37" spans="1:8" x14ac:dyDescent="0.35">
      <c r="A37" s="35" t="s">
        <v>45</v>
      </c>
      <c r="B37" s="53">
        <f>7.3/100*B4</f>
        <v>0</v>
      </c>
      <c r="C37" s="54">
        <v>0.27</v>
      </c>
      <c r="D37" s="55">
        <f t="shared" si="0"/>
        <v>0</v>
      </c>
      <c r="E37" s="104">
        <v>11</v>
      </c>
      <c r="F37" s="56">
        <f t="shared" si="3"/>
        <v>0</v>
      </c>
      <c r="G37" s="148">
        <v>7</v>
      </c>
      <c r="H37" s="57">
        <f t="shared" si="4"/>
        <v>0</v>
      </c>
    </row>
    <row r="38" spans="1:8" x14ac:dyDescent="0.35">
      <c r="A38" s="47" t="s">
        <v>46</v>
      </c>
      <c r="B38" s="99">
        <f>5.2/100*B4</f>
        <v>0</v>
      </c>
      <c r="C38" s="100">
        <v>2</v>
      </c>
      <c r="D38" s="101">
        <f t="shared" si="0"/>
        <v>0</v>
      </c>
      <c r="E38" s="105">
        <v>3</v>
      </c>
      <c r="F38" s="102">
        <f t="shared" si="3"/>
        <v>0</v>
      </c>
      <c r="G38" s="149">
        <v>3</v>
      </c>
      <c r="H38" s="103">
        <f t="shared" si="4"/>
        <v>0</v>
      </c>
    </row>
    <row r="39" spans="1:8" x14ac:dyDescent="0.35">
      <c r="A39" s="35" t="s">
        <v>47</v>
      </c>
      <c r="B39" s="106">
        <f>0.39/100*B4</f>
        <v>0</v>
      </c>
      <c r="C39" s="54">
        <v>3.0000000000000001E-3</v>
      </c>
      <c r="D39" s="55">
        <f t="shared" si="0"/>
        <v>0</v>
      </c>
      <c r="E39" s="54">
        <v>0.6</v>
      </c>
      <c r="F39" s="56">
        <f t="shared" si="3"/>
        <v>0</v>
      </c>
      <c r="G39" s="134">
        <v>1.2</v>
      </c>
      <c r="H39" s="57">
        <f t="shared" si="4"/>
        <v>0</v>
      </c>
    </row>
    <row r="40" spans="1:8" x14ac:dyDescent="0.35">
      <c r="A40" s="47" t="s">
        <v>48</v>
      </c>
      <c r="B40" s="99">
        <f>390/100*B4</f>
        <v>0</v>
      </c>
      <c r="C40" s="100">
        <v>200</v>
      </c>
      <c r="D40" s="101">
        <f t="shared" si="0"/>
        <v>0</v>
      </c>
      <c r="E40" s="100">
        <v>220</v>
      </c>
      <c r="F40" s="102">
        <f t="shared" si="3"/>
        <v>0</v>
      </c>
      <c r="G40" s="149">
        <v>340</v>
      </c>
      <c r="H40" s="103">
        <f t="shared" si="4"/>
        <v>0</v>
      </c>
    </row>
    <row r="41" spans="1:8" x14ac:dyDescent="0.35">
      <c r="A41" s="35" t="s">
        <v>49</v>
      </c>
      <c r="B41" s="53">
        <f>82.5/100*B4</f>
        <v>0</v>
      </c>
      <c r="C41" s="54">
        <v>110</v>
      </c>
      <c r="D41" s="55">
        <f t="shared" si="0"/>
        <v>0</v>
      </c>
      <c r="E41" s="54">
        <v>130</v>
      </c>
      <c r="F41" s="56">
        <f t="shared" si="3"/>
        <v>0</v>
      </c>
      <c r="G41" s="148">
        <v>90</v>
      </c>
      <c r="H41" s="57">
        <f t="shared" si="4"/>
        <v>0</v>
      </c>
    </row>
    <row r="42" spans="1:8" x14ac:dyDescent="0.35">
      <c r="A42" s="47" t="s">
        <v>50</v>
      </c>
      <c r="B42" s="99">
        <f>10.9/100*B4</f>
        <v>0</v>
      </c>
      <c r="C42" s="100">
        <v>2</v>
      </c>
      <c r="D42" s="101">
        <f t="shared" si="0"/>
        <v>0</v>
      </c>
      <c r="E42" s="100">
        <v>3</v>
      </c>
      <c r="F42" s="102">
        <f t="shared" si="3"/>
        <v>0</v>
      </c>
      <c r="G42" s="149">
        <v>17</v>
      </c>
      <c r="H42" s="103">
        <f t="shared" si="4"/>
        <v>0</v>
      </c>
    </row>
    <row r="43" spans="1:8" x14ac:dyDescent="0.35">
      <c r="A43" s="35" t="s">
        <v>51</v>
      </c>
      <c r="B43" s="53">
        <f>12.5/100*B4</f>
        <v>0</v>
      </c>
      <c r="C43" s="54">
        <v>0.2</v>
      </c>
      <c r="D43" s="55">
        <f t="shared" si="0"/>
        <v>0</v>
      </c>
      <c r="E43" s="54">
        <v>5.5</v>
      </c>
      <c r="F43" s="56">
        <f t="shared" si="3"/>
        <v>0</v>
      </c>
      <c r="G43" s="146">
        <v>11</v>
      </c>
      <c r="H43" s="57">
        <f t="shared" si="4"/>
        <v>0</v>
      </c>
    </row>
    <row r="44" spans="1:8" x14ac:dyDescent="0.35">
      <c r="A44" s="47" t="s">
        <v>52</v>
      </c>
      <c r="B44" s="99">
        <f>14.1/100*B4</f>
        <v>0</v>
      </c>
      <c r="C44" s="100">
        <v>15</v>
      </c>
      <c r="D44" s="101">
        <f t="shared" si="0"/>
        <v>0</v>
      </c>
      <c r="E44" s="100">
        <v>20</v>
      </c>
      <c r="F44" s="102">
        <f t="shared" si="3"/>
        <v>0</v>
      </c>
      <c r="G44" s="149">
        <v>20</v>
      </c>
      <c r="H44" s="103">
        <f t="shared" si="4"/>
        <v>0</v>
      </c>
    </row>
    <row r="45" spans="1:8" x14ac:dyDescent="0.35">
      <c r="A45" s="35" t="s">
        <v>53</v>
      </c>
      <c r="B45" s="53">
        <f>171/100*B4</f>
        <v>0</v>
      </c>
      <c r="C45" s="107">
        <v>110</v>
      </c>
      <c r="D45" s="55">
        <f>B45/C45</f>
        <v>0</v>
      </c>
      <c r="E45" s="107">
        <v>370</v>
      </c>
      <c r="F45" s="56">
        <f>B45/E45</f>
        <v>0</v>
      </c>
      <c r="G45" s="146">
        <v>800</v>
      </c>
      <c r="H45" s="57">
        <f t="shared" si="4"/>
        <v>0</v>
      </c>
    </row>
    <row r="46" spans="1:8" x14ac:dyDescent="0.35">
      <c r="A46" s="47" t="s">
        <v>54</v>
      </c>
      <c r="B46" s="99">
        <f>454/100*B4</f>
        <v>0</v>
      </c>
      <c r="C46" s="108">
        <v>400</v>
      </c>
      <c r="D46" s="101">
        <f>B46/C46</f>
        <v>0</v>
      </c>
      <c r="E46" s="108">
        <v>860</v>
      </c>
      <c r="F46" s="102">
        <f>B46/E46</f>
        <v>0</v>
      </c>
      <c r="G46" s="147">
        <v>2000</v>
      </c>
      <c r="H46" s="103">
        <f t="shared" si="4"/>
        <v>0</v>
      </c>
    </row>
    <row r="47" spans="1:8" ht="15" thickBot="1" x14ac:dyDescent="0.4">
      <c r="A47" s="109" t="s">
        <v>55</v>
      </c>
      <c r="B47" s="110">
        <f>321/100*B4</f>
        <v>0</v>
      </c>
      <c r="C47" s="111">
        <v>180</v>
      </c>
      <c r="D47" s="112">
        <f>B47/C47</f>
        <v>0</v>
      </c>
      <c r="E47" s="111">
        <v>570</v>
      </c>
      <c r="F47" s="113">
        <f>B47/E47</f>
        <v>0</v>
      </c>
      <c r="G47" s="150">
        <v>1500</v>
      </c>
      <c r="H47" s="114">
        <f t="shared" si="4"/>
        <v>0</v>
      </c>
    </row>
    <row r="48" spans="1:8" x14ac:dyDescent="0.35">
      <c r="A48" s="272" t="s">
        <v>56</v>
      </c>
    </row>
    <row r="49" spans="1:8" x14ac:dyDescent="0.35">
      <c r="A49" t="s">
        <v>57</v>
      </c>
    </row>
    <row r="50" spans="1:8" x14ac:dyDescent="0.35">
      <c r="A50" t="s">
        <v>58</v>
      </c>
      <c r="G50" s="273"/>
      <c r="H50" s="273"/>
    </row>
    <row r="51" spans="1:8" x14ac:dyDescent="0.35">
      <c r="A51" s="274" t="s">
        <v>139</v>
      </c>
    </row>
  </sheetData>
  <sheetProtection algorithmName="SHA-512" hashValue="ySKh3dK0dYo0W4mxRymLn9FuoFMm7ryUSv1ucy+lywPTHaj7rEu7ZadCh46CqJuQES2SY+Tf3yAqJ8n38aDcIA==" saltValue="vTHTy8sOFvK4KpcVCCnWzA==" spinCount="100000" sheet="1" objects="1" scenarios="1"/>
  <mergeCells count="5">
    <mergeCell ref="A1:F1"/>
    <mergeCell ref="A3:B3"/>
    <mergeCell ref="A17:B17"/>
    <mergeCell ref="A33:B33"/>
    <mergeCell ref="C2:H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J51"/>
  <sheetViews>
    <sheetView showGridLines="0" zoomScale="90" zoomScaleNormal="90" workbookViewId="0">
      <selection activeCell="A3" sqref="A3:B3"/>
    </sheetView>
  </sheetViews>
  <sheetFormatPr defaultColWidth="9.1796875" defaultRowHeight="14.5" x14ac:dyDescent="0.35"/>
  <cols>
    <col min="1" max="1" width="26" customWidth="1"/>
    <col min="2" max="2" width="12.54296875" customWidth="1"/>
    <col min="7" max="7" width="10.1796875" customWidth="1"/>
    <col min="8" max="9" width="10.54296875" customWidth="1"/>
    <col min="10" max="10" width="9.81640625" customWidth="1"/>
    <col min="11" max="11" width="4.26953125" customWidth="1"/>
  </cols>
  <sheetData>
    <row r="1" spans="1:10" ht="15" thickBot="1" x14ac:dyDescent="0.4">
      <c r="A1" s="275" t="s">
        <v>2</v>
      </c>
      <c r="B1" s="276" t="s">
        <v>59</v>
      </c>
      <c r="C1" s="276" t="s">
        <v>59</v>
      </c>
      <c r="D1" s="276" t="s">
        <v>59</v>
      </c>
      <c r="E1" s="276"/>
      <c r="F1" s="276"/>
      <c r="G1" s="277"/>
      <c r="H1" s="277"/>
      <c r="I1" s="277"/>
      <c r="J1" s="278"/>
    </row>
    <row r="2" spans="1:10" ht="75" customHeight="1" thickBot="1" x14ac:dyDescent="0.4">
      <c r="A2" s="279" t="s">
        <v>3</v>
      </c>
      <c r="B2" s="13">
        <v>0</v>
      </c>
      <c r="C2" s="369" t="s">
        <v>60</v>
      </c>
      <c r="D2" s="370"/>
      <c r="E2" s="370"/>
      <c r="F2" s="370"/>
      <c r="G2" s="371"/>
      <c r="H2" s="371"/>
      <c r="I2" s="371"/>
      <c r="J2" s="372"/>
    </row>
    <row r="3" spans="1:10" ht="44" thickBot="1" x14ac:dyDescent="0.4">
      <c r="A3" s="360" t="s">
        <v>126</v>
      </c>
      <c r="B3" s="373"/>
      <c r="C3" s="280" t="s">
        <v>61</v>
      </c>
      <c r="D3" s="280" t="s">
        <v>10</v>
      </c>
      <c r="E3" s="27" t="s">
        <v>62</v>
      </c>
      <c r="F3" s="281" t="s">
        <v>63</v>
      </c>
      <c r="G3" s="282" t="s">
        <v>64</v>
      </c>
      <c r="H3" s="282" t="s">
        <v>65</v>
      </c>
      <c r="I3" s="283" t="s">
        <v>66</v>
      </c>
      <c r="J3" s="283" t="s">
        <v>67</v>
      </c>
    </row>
    <row r="4" spans="1:10" x14ac:dyDescent="0.35">
      <c r="A4" s="175" t="s">
        <v>11</v>
      </c>
      <c r="B4" s="176">
        <f>B2*100/28</f>
        <v>0</v>
      </c>
      <c r="C4" s="177"/>
      <c r="D4" s="178"/>
      <c r="E4" s="177"/>
      <c r="F4" s="179"/>
      <c r="G4" s="164"/>
      <c r="H4" s="155"/>
      <c r="I4" s="155"/>
      <c r="J4" s="158"/>
    </row>
    <row r="5" spans="1:10" x14ac:dyDescent="0.35">
      <c r="A5" s="180" t="s">
        <v>68</v>
      </c>
      <c r="B5" s="181">
        <f>(100/9)/100*B4</f>
        <v>0</v>
      </c>
      <c r="C5" s="182"/>
      <c r="D5" s="183"/>
      <c r="E5" s="182"/>
      <c r="F5" s="184"/>
      <c r="G5" s="165"/>
      <c r="H5" s="160"/>
      <c r="I5" s="160"/>
      <c r="J5" s="161"/>
    </row>
    <row r="6" spans="1:10" x14ac:dyDescent="0.35">
      <c r="A6" s="185" t="s">
        <v>69</v>
      </c>
      <c r="B6" s="186">
        <f>385/100*B4</f>
        <v>0</v>
      </c>
      <c r="C6" s="187"/>
      <c r="D6" s="188"/>
      <c r="E6" s="187"/>
      <c r="F6" s="189"/>
      <c r="G6" s="166"/>
      <c r="H6" s="156"/>
      <c r="I6" s="156"/>
      <c r="J6" s="159"/>
    </row>
    <row r="7" spans="1:10" x14ac:dyDescent="0.35">
      <c r="A7" s="190" t="s">
        <v>14</v>
      </c>
      <c r="B7" s="191">
        <f>B2</f>
        <v>0</v>
      </c>
      <c r="C7" s="192">
        <v>13</v>
      </c>
      <c r="D7" s="193">
        <f>B7/C7</f>
        <v>0</v>
      </c>
      <c r="E7" s="192">
        <v>19</v>
      </c>
      <c r="F7" s="194">
        <f>B7/E7</f>
        <v>0</v>
      </c>
      <c r="G7" s="195">
        <v>34</v>
      </c>
      <c r="H7" s="196">
        <f>B7/G7</f>
        <v>0</v>
      </c>
      <c r="I7" s="195">
        <v>34</v>
      </c>
      <c r="J7" s="197">
        <f>B7/I7</f>
        <v>0</v>
      </c>
    </row>
    <row r="8" spans="1:10" x14ac:dyDescent="0.35">
      <c r="A8" s="198" t="s">
        <v>15</v>
      </c>
      <c r="B8" s="199">
        <f>12.5/100*B4</f>
        <v>0</v>
      </c>
      <c r="C8" s="200"/>
      <c r="D8" s="201"/>
      <c r="E8" s="200"/>
      <c r="F8" s="202"/>
      <c r="G8" s="167"/>
      <c r="H8" s="157"/>
      <c r="I8" s="163"/>
      <c r="J8" s="203"/>
    </row>
    <row r="9" spans="1:10" x14ac:dyDescent="0.35">
      <c r="A9" s="284" t="s">
        <v>70</v>
      </c>
      <c r="B9" s="87">
        <f>2/28*B2</f>
        <v>0</v>
      </c>
      <c r="C9" s="37"/>
      <c r="D9" s="38"/>
      <c r="E9" s="37"/>
      <c r="F9" s="38"/>
      <c r="G9" s="167"/>
      <c r="H9" s="157"/>
      <c r="I9" s="163"/>
      <c r="J9" s="203"/>
    </row>
    <row r="10" spans="1:10" x14ac:dyDescent="0.35">
      <c r="A10" s="284" t="s">
        <v>71</v>
      </c>
      <c r="B10" s="87">
        <f>8.2/28*B2</f>
        <v>0</v>
      </c>
      <c r="C10" s="37"/>
      <c r="D10" s="38"/>
      <c r="E10" s="37"/>
      <c r="F10" s="38"/>
      <c r="G10" s="167"/>
      <c r="H10" s="157"/>
      <c r="I10" s="163"/>
      <c r="J10" s="203"/>
    </row>
    <row r="11" spans="1:10" x14ac:dyDescent="0.35">
      <c r="A11" s="284" t="s">
        <v>72</v>
      </c>
      <c r="B11" s="87">
        <f>1.8/28*B2</f>
        <v>0</v>
      </c>
      <c r="C11" s="37"/>
      <c r="D11" s="38"/>
      <c r="E11" s="37"/>
      <c r="F11" s="38"/>
      <c r="G11" s="167"/>
      <c r="H11" s="157"/>
      <c r="I11" s="163"/>
      <c r="J11" s="203"/>
    </row>
    <row r="12" spans="1:10" x14ac:dyDescent="0.35">
      <c r="A12" s="58" t="s">
        <v>73</v>
      </c>
      <c r="B12" s="59">
        <f>180/100*B4</f>
        <v>0</v>
      </c>
      <c r="C12" s="37"/>
      <c r="D12" s="38"/>
      <c r="E12" s="37"/>
      <c r="F12" s="38"/>
      <c r="G12" s="168"/>
      <c r="H12" s="157"/>
      <c r="I12" s="163"/>
      <c r="J12" s="203"/>
    </row>
    <row r="13" spans="1:10" x14ac:dyDescent="0.35">
      <c r="A13" s="47" t="s">
        <v>23</v>
      </c>
      <c r="B13" s="48">
        <f>43.2/100*B4</f>
        <v>0</v>
      </c>
      <c r="C13" s="204">
        <v>130</v>
      </c>
      <c r="D13" s="50">
        <f>B13/C13</f>
        <v>0</v>
      </c>
      <c r="E13" s="204">
        <v>130</v>
      </c>
      <c r="F13" s="50">
        <f>B13/E13</f>
        <v>0</v>
      </c>
      <c r="G13" s="195">
        <v>130</v>
      </c>
      <c r="H13" s="196">
        <f>B13/G13</f>
        <v>0</v>
      </c>
      <c r="I13" s="195">
        <v>130</v>
      </c>
      <c r="J13" s="197">
        <f>B13/I13</f>
        <v>0</v>
      </c>
    </row>
    <row r="14" spans="1:10" x14ac:dyDescent="0.35">
      <c r="A14" s="58" t="s">
        <v>74</v>
      </c>
      <c r="B14" s="59">
        <f>11.2/100*B4</f>
        <v>0</v>
      </c>
      <c r="C14" s="60">
        <v>19</v>
      </c>
      <c r="D14" s="61">
        <f>B14/C14</f>
        <v>0</v>
      </c>
      <c r="E14" s="60">
        <v>25</v>
      </c>
      <c r="F14" s="61">
        <f>B14/E14</f>
        <v>0</v>
      </c>
      <c r="G14" s="205">
        <v>31</v>
      </c>
      <c r="H14" s="206">
        <f>B14/G14</f>
        <v>0</v>
      </c>
      <c r="I14" s="205">
        <v>26</v>
      </c>
      <c r="J14" s="207">
        <f>B14/I14</f>
        <v>0</v>
      </c>
    </row>
    <row r="15" spans="1:10" x14ac:dyDescent="0.35">
      <c r="A15" s="58" t="s">
        <v>75</v>
      </c>
      <c r="B15" s="59">
        <f>8/100*B4</f>
        <v>0</v>
      </c>
      <c r="C15" s="60"/>
      <c r="D15" s="61"/>
      <c r="E15" s="60"/>
      <c r="F15" s="61"/>
      <c r="G15" s="205"/>
      <c r="H15" s="206"/>
      <c r="I15" s="208"/>
      <c r="J15" s="207"/>
    </row>
    <row r="16" spans="1:10" ht="15" thickBot="1" x14ac:dyDescent="0.4">
      <c r="A16" s="209" t="s">
        <v>76</v>
      </c>
      <c r="B16" s="263">
        <f>3.2/100*B4</f>
        <v>0</v>
      </c>
      <c r="C16" s="210"/>
      <c r="D16" s="211"/>
      <c r="E16" s="210"/>
      <c r="F16" s="211"/>
      <c r="G16" s="212"/>
      <c r="H16" s="213"/>
      <c r="I16" s="214"/>
      <c r="J16" s="215"/>
    </row>
    <row r="17" spans="1:10" ht="44" thickBot="1" x14ac:dyDescent="0.4">
      <c r="A17" s="374" t="s">
        <v>25</v>
      </c>
      <c r="B17" s="375"/>
      <c r="C17" s="280" t="s">
        <v>61</v>
      </c>
      <c r="D17" s="280" t="s">
        <v>10</v>
      </c>
      <c r="E17" s="27" t="s">
        <v>62</v>
      </c>
      <c r="F17" s="281" t="s">
        <v>63</v>
      </c>
      <c r="G17" s="282" t="s">
        <v>64</v>
      </c>
      <c r="H17" s="282" t="s">
        <v>65</v>
      </c>
      <c r="I17" s="283" t="s">
        <v>66</v>
      </c>
      <c r="J17" s="283" t="s">
        <v>67</v>
      </c>
    </row>
    <row r="18" spans="1:10" x14ac:dyDescent="0.35">
      <c r="A18" s="216" t="s">
        <v>26</v>
      </c>
      <c r="B18" s="264">
        <f>420/100*B4</f>
        <v>0</v>
      </c>
      <c r="C18" s="239">
        <v>300</v>
      </c>
      <c r="D18" s="217">
        <f t="shared" ref="D18:D44" si="0">B18/C18</f>
        <v>0</v>
      </c>
      <c r="E18" s="239">
        <v>400</v>
      </c>
      <c r="F18" s="218">
        <f t="shared" ref="F18:F31" si="1">B18/E18</f>
        <v>0</v>
      </c>
      <c r="G18" s="242">
        <v>600</v>
      </c>
      <c r="H18" s="219">
        <f>B18/G18</f>
        <v>0</v>
      </c>
      <c r="I18" s="242">
        <v>600</v>
      </c>
      <c r="J18" s="220">
        <f>B18/I18</f>
        <v>0</v>
      </c>
    </row>
    <row r="19" spans="1:10" x14ac:dyDescent="0.35">
      <c r="A19" s="185" t="s">
        <v>27</v>
      </c>
      <c r="B19" s="186">
        <f>21/100*B4</f>
        <v>0</v>
      </c>
      <c r="C19" s="240">
        <v>15</v>
      </c>
      <c r="D19" s="221">
        <f t="shared" si="0"/>
        <v>0</v>
      </c>
      <c r="E19" s="240">
        <v>15</v>
      </c>
      <c r="F19" s="189">
        <f t="shared" si="1"/>
        <v>0</v>
      </c>
      <c r="G19" s="243">
        <v>15</v>
      </c>
      <c r="H19" s="169">
        <f t="shared" ref="H19:H31" si="2">B19/G19</f>
        <v>0</v>
      </c>
      <c r="I19" s="243">
        <v>15</v>
      </c>
      <c r="J19" s="172">
        <f t="shared" ref="J19:J31" si="3">B19/I19</f>
        <v>0</v>
      </c>
    </row>
    <row r="20" spans="1:10" x14ac:dyDescent="0.35">
      <c r="A20" s="190" t="s">
        <v>28</v>
      </c>
      <c r="B20" s="191">
        <f>8.4/100*B4</f>
        <v>0</v>
      </c>
      <c r="C20" s="192">
        <v>6</v>
      </c>
      <c r="D20" s="193">
        <f t="shared" si="0"/>
        <v>0</v>
      </c>
      <c r="E20" s="192">
        <v>7</v>
      </c>
      <c r="F20" s="194">
        <f t="shared" si="1"/>
        <v>0</v>
      </c>
      <c r="G20" s="244">
        <v>11</v>
      </c>
      <c r="H20" s="196">
        <f t="shared" si="2"/>
        <v>0</v>
      </c>
      <c r="I20" s="244">
        <v>11</v>
      </c>
      <c r="J20" s="197">
        <f t="shared" si="3"/>
        <v>0</v>
      </c>
    </row>
    <row r="21" spans="1:10" x14ac:dyDescent="0.35">
      <c r="A21" s="185" t="s">
        <v>29</v>
      </c>
      <c r="B21" s="186">
        <f>14/100*B4</f>
        <v>0</v>
      </c>
      <c r="C21" s="187">
        <v>30</v>
      </c>
      <c r="D21" s="221">
        <f t="shared" si="0"/>
        <v>0</v>
      </c>
      <c r="E21" s="187">
        <v>55</v>
      </c>
      <c r="F21" s="189">
        <f t="shared" si="1"/>
        <v>0</v>
      </c>
      <c r="G21" s="245">
        <v>60</v>
      </c>
      <c r="H21" s="169">
        <f t="shared" si="2"/>
        <v>0</v>
      </c>
      <c r="I21" s="245">
        <v>60</v>
      </c>
      <c r="J21" s="172">
        <f t="shared" si="3"/>
        <v>0</v>
      </c>
    </row>
    <row r="22" spans="1:10" x14ac:dyDescent="0.35">
      <c r="A22" s="190" t="s">
        <v>30</v>
      </c>
      <c r="B22" s="222">
        <f>0.73/100*B4</f>
        <v>0</v>
      </c>
      <c r="C22" s="192">
        <v>0.5</v>
      </c>
      <c r="D22" s="193">
        <f t="shared" si="0"/>
        <v>0</v>
      </c>
      <c r="E22" s="192">
        <v>0.6</v>
      </c>
      <c r="F22" s="194">
        <f t="shared" si="1"/>
        <v>0</v>
      </c>
      <c r="G22" s="246">
        <v>0.9</v>
      </c>
      <c r="H22" s="196">
        <f t="shared" si="2"/>
        <v>0</v>
      </c>
      <c r="I22" s="246">
        <v>0.9</v>
      </c>
      <c r="J22" s="197">
        <f t="shared" si="3"/>
        <v>0</v>
      </c>
    </row>
    <row r="23" spans="1:10" x14ac:dyDescent="0.35">
      <c r="A23" s="185" t="s">
        <v>31</v>
      </c>
      <c r="B23" s="223">
        <f>0.73/100*B4</f>
        <v>0</v>
      </c>
      <c r="C23" s="240">
        <v>0.5</v>
      </c>
      <c r="D23" s="221">
        <f t="shared" si="0"/>
        <v>0</v>
      </c>
      <c r="E23" s="240">
        <v>0.6</v>
      </c>
      <c r="F23" s="189">
        <f t="shared" si="1"/>
        <v>0</v>
      </c>
      <c r="G23" s="247">
        <v>0.9</v>
      </c>
      <c r="H23" s="224">
        <f t="shared" si="2"/>
        <v>0</v>
      </c>
      <c r="I23" s="247">
        <v>0.9</v>
      </c>
      <c r="J23" s="225">
        <f t="shared" si="3"/>
        <v>0</v>
      </c>
    </row>
    <row r="24" spans="1:10" x14ac:dyDescent="0.35">
      <c r="A24" s="190" t="s">
        <v>32</v>
      </c>
      <c r="B24" s="222">
        <f>0.73/100*B4</f>
        <v>0</v>
      </c>
      <c r="C24" s="192">
        <v>0.5</v>
      </c>
      <c r="D24" s="193">
        <f t="shared" si="0"/>
        <v>0</v>
      </c>
      <c r="E24" s="192">
        <v>0.6</v>
      </c>
      <c r="F24" s="194">
        <f t="shared" si="1"/>
        <v>0</v>
      </c>
      <c r="G24" s="246">
        <v>1</v>
      </c>
      <c r="H24" s="196">
        <f t="shared" si="2"/>
        <v>0</v>
      </c>
      <c r="I24" s="246">
        <v>1</v>
      </c>
      <c r="J24" s="197">
        <f t="shared" si="3"/>
        <v>0</v>
      </c>
    </row>
    <row r="25" spans="1:10" x14ac:dyDescent="0.35">
      <c r="A25" s="185" t="s">
        <v>33</v>
      </c>
      <c r="B25" s="223">
        <f>1.3/100*B4</f>
        <v>0</v>
      </c>
      <c r="C25" s="240">
        <v>0.9</v>
      </c>
      <c r="D25" s="221">
        <f t="shared" si="0"/>
        <v>0</v>
      </c>
      <c r="E25" s="240">
        <v>1.2</v>
      </c>
      <c r="F25" s="189">
        <f t="shared" si="1"/>
        <v>0</v>
      </c>
      <c r="G25" s="247">
        <v>1.8</v>
      </c>
      <c r="H25" s="224">
        <f t="shared" si="2"/>
        <v>0</v>
      </c>
      <c r="I25" s="247">
        <v>1.8</v>
      </c>
      <c r="J25" s="225">
        <f t="shared" si="3"/>
        <v>0</v>
      </c>
    </row>
    <row r="26" spans="1:10" x14ac:dyDescent="0.35">
      <c r="A26" s="190" t="s">
        <v>34</v>
      </c>
      <c r="B26" s="222">
        <f>2/100*B4</f>
        <v>0</v>
      </c>
      <c r="C26" s="192">
        <v>6</v>
      </c>
      <c r="D26" s="193">
        <f t="shared" si="0"/>
        <v>0</v>
      </c>
      <c r="E26" s="192">
        <v>8</v>
      </c>
      <c r="F26" s="194">
        <f t="shared" si="1"/>
        <v>0</v>
      </c>
      <c r="G26" s="244">
        <v>12</v>
      </c>
      <c r="H26" s="196">
        <f t="shared" si="2"/>
        <v>0</v>
      </c>
      <c r="I26" s="244">
        <v>12</v>
      </c>
      <c r="J26" s="197">
        <f t="shared" si="3"/>
        <v>0</v>
      </c>
    </row>
    <row r="27" spans="1:10" x14ac:dyDescent="0.35">
      <c r="A27" s="185" t="s">
        <v>35</v>
      </c>
      <c r="B27" s="186">
        <f>210/100*B4</f>
        <v>0</v>
      </c>
      <c r="C27" s="240">
        <v>150</v>
      </c>
      <c r="D27" s="221">
        <f t="shared" si="0"/>
        <v>0</v>
      </c>
      <c r="E27" s="240">
        <v>200</v>
      </c>
      <c r="F27" s="189">
        <f t="shared" si="1"/>
        <v>0</v>
      </c>
      <c r="G27" s="248">
        <v>300</v>
      </c>
      <c r="H27" s="224">
        <f t="shared" si="2"/>
        <v>0</v>
      </c>
      <c r="I27" s="248">
        <v>300</v>
      </c>
      <c r="J27" s="225">
        <f t="shared" si="3"/>
        <v>0</v>
      </c>
    </row>
    <row r="28" spans="1:10" x14ac:dyDescent="0.35">
      <c r="A28" s="190" t="s">
        <v>36</v>
      </c>
      <c r="B28" s="191">
        <f>4.2/100*B4</f>
        <v>0</v>
      </c>
      <c r="C28" s="241">
        <v>2</v>
      </c>
      <c r="D28" s="193">
        <f t="shared" si="0"/>
        <v>0</v>
      </c>
      <c r="E28" s="241">
        <v>3</v>
      </c>
      <c r="F28" s="194">
        <f t="shared" si="1"/>
        <v>0</v>
      </c>
      <c r="G28" s="249">
        <v>4</v>
      </c>
      <c r="H28" s="170">
        <f t="shared" si="2"/>
        <v>0</v>
      </c>
      <c r="I28" s="249">
        <v>4</v>
      </c>
      <c r="J28" s="173">
        <f t="shared" si="3"/>
        <v>0</v>
      </c>
    </row>
    <row r="29" spans="1:10" x14ac:dyDescent="0.35">
      <c r="A29" s="185" t="s">
        <v>37</v>
      </c>
      <c r="B29" s="186">
        <f>11.2/100*B4</f>
        <v>0</v>
      </c>
      <c r="C29" s="187">
        <v>8</v>
      </c>
      <c r="D29" s="221">
        <f t="shared" si="0"/>
        <v>0</v>
      </c>
      <c r="E29" s="187">
        <v>12</v>
      </c>
      <c r="F29" s="189">
        <f t="shared" si="1"/>
        <v>0</v>
      </c>
      <c r="G29" s="245">
        <v>20</v>
      </c>
      <c r="H29" s="169">
        <f t="shared" si="2"/>
        <v>0</v>
      </c>
      <c r="I29" s="245">
        <v>20</v>
      </c>
      <c r="J29" s="172">
        <f t="shared" si="3"/>
        <v>0</v>
      </c>
    </row>
    <row r="30" spans="1:10" x14ac:dyDescent="0.35">
      <c r="A30" s="190" t="s">
        <v>38</v>
      </c>
      <c r="B30" s="191">
        <f>42/100*B4</f>
        <v>0</v>
      </c>
      <c r="C30" s="192">
        <v>15</v>
      </c>
      <c r="D30" s="193">
        <f t="shared" si="0"/>
        <v>0</v>
      </c>
      <c r="E30" s="192">
        <v>25</v>
      </c>
      <c r="F30" s="194">
        <f t="shared" si="1"/>
        <v>0</v>
      </c>
      <c r="G30" s="244">
        <v>45</v>
      </c>
      <c r="H30" s="196">
        <f t="shared" si="2"/>
        <v>0</v>
      </c>
      <c r="I30" s="244">
        <v>45</v>
      </c>
      <c r="J30" s="197">
        <f t="shared" si="3"/>
        <v>0</v>
      </c>
    </row>
    <row r="31" spans="1:10" x14ac:dyDescent="0.35">
      <c r="A31" s="185" t="s">
        <v>39</v>
      </c>
      <c r="B31" s="186">
        <f>224/100*B4</f>
        <v>0</v>
      </c>
      <c r="C31" s="200">
        <v>200</v>
      </c>
      <c r="D31" s="201">
        <f t="shared" si="0"/>
        <v>0</v>
      </c>
      <c r="E31" s="200">
        <v>250</v>
      </c>
      <c r="F31" s="202">
        <f t="shared" si="1"/>
        <v>0</v>
      </c>
      <c r="G31" s="245">
        <v>375</v>
      </c>
      <c r="H31" s="169">
        <f t="shared" si="2"/>
        <v>0</v>
      </c>
      <c r="I31" s="245">
        <v>375</v>
      </c>
      <c r="J31" s="172">
        <f t="shared" si="3"/>
        <v>0</v>
      </c>
    </row>
    <row r="32" spans="1:10" ht="15" thickBot="1" x14ac:dyDescent="0.4">
      <c r="A32" s="226" t="s">
        <v>40</v>
      </c>
      <c r="B32" s="227">
        <f>56/100*B4</f>
        <v>0</v>
      </c>
      <c r="C32" s="251" t="s">
        <v>16</v>
      </c>
      <c r="D32" s="252"/>
      <c r="E32" s="251" t="s">
        <v>16</v>
      </c>
      <c r="F32" s="253"/>
      <c r="G32" s="250" t="s">
        <v>16</v>
      </c>
      <c r="H32" s="171"/>
      <c r="I32" s="250" t="s">
        <v>16</v>
      </c>
      <c r="J32" s="174"/>
    </row>
    <row r="33" spans="1:10" ht="44" thickBot="1" x14ac:dyDescent="0.4">
      <c r="A33" s="362" t="s">
        <v>77</v>
      </c>
      <c r="B33" s="363"/>
      <c r="C33" s="280" t="s">
        <v>61</v>
      </c>
      <c r="D33" s="280" t="s">
        <v>10</v>
      </c>
      <c r="E33" s="27" t="s">
        <v>62</v>
      </c>
      <c r="F33" s="281" t="s">
        <v>63</v>
      </c>
      <c r="G33" s="285" t="s">
        <v>64</v>
      </c>
      <c r="H33" s="285" t="s">
        <v>65</v>
      </c>
      <c r="I33" s="286" t="s">
        <v>66</v>
      </c>
      <c r="J33" s="286" t="s">
        <v>67</v>
      </c>
    </row>
    <row r="34" spans="1:10" x14ac:dyDescent="0.35">
      <c r="A34" s="216" t="s">
        <v>42</v>
      </c>
      <c r="B34" s="264">
        <f>980/100*B4</f>
        <v>0</v>
      </c>
      <c r="C34" s="239">
        <v>700</v>
      </c>
      <c r="D34" s="217">
        <f t="shared" si="0"/>
        <v>0</v>
      </c>
      <c r="E34" s="239">
        <v>1000</v>
      </c>
      <c r="F34" s="218">
        <f t="shared" ref="F34:F44" si="4">B34/E34</f>
        <v>0</v>
      </c>
      <c r="G34" s="260">
        <v>1300</v>
      </c>
      <c r="H34" s="230">
        <f>B34/G34</f>
        <v>0</v>
      </c>
      <c r="I34" s="260">
        <v>1300</v>
      </c>
      <c r="J34" s="231">
        <f>B34/I34</f>
        <v>0</v>
      </c>
    </row>
    <row r="35" spans="1:10" x14ac:dyDescent="0.35">
      <c r="A35" s="185" t="s">
        <v>43</v>
      </c>
      <c r="B35" s="265">
        <f>641/100*B4</f>
        <v>0</v>
      </c>
      <c r="C35" s="240">
        <v>460</v>
      </c>
      <c r="D35" s="221">
        <f t="shared" si="0"/>
        <v>0</v>
      </c>
      <c r="E35" s="240">
        <v>500</v>
      </c>
      <c r="F35" s="189">
        <f t="shared" si="4"/>
        <v>0</v>
      </c>
      <c r="G35" s="248">
        <v>1250</v>
      </c>
      <c r="H35" s="224">
        <f t="shared" ref="H35:H47" si="5">B35/G35</f>
        <v>0</v>
      </c>
      <c r="I35" s="248">
        <v>1250</v>
      </c>
      <c r="J35" s="225">
        <f t="shared" ref="J35:J47" si="6">B35/I35</f>
        <v>0</v>
      </c>
    </row>
    <row r="36" spans="1:10" x14ac:dyDescent="0.35">
      <c r="A36" s="190" t="s">
        <v>44</v>
      </c>
      <c r="B36" s="191">
        <f>113/100*B4</f>
        <v>0</v>
      </c>
      <c r="C36" s="192">
        <v>80</v>
      </c>
      <c r="D36" s="193">
        <f t="shared" si="0"/>
        <v>0</v>
      </c>
      <c r="E36" s="192">
        <v>130</v>
      </c>
      <c r="F36" s="194">
        <f t="shared" si="4"/>
        <v>0</v>
      </c>
      <c r="G36" s="244">
        <v>240</v>
      </c>
      <c r="H36" s="196">
        <f t="shared" si="5"/>
        <v>0</v>
      </c>
      <c r="I36" s="244">
        <v>240</v>
      </c>
      <c r="J36" s="197">
        <f t="shared" si="6"/>
        <v>0</v>
      </c>
    </row>
    <row r="37" spans="1:10" x14ac:dyDescent="0.35">
      <c r="A37" s="185" t="s">
        <v>45</v>
      </c>
      <c r="B37" s="186">
        <f>10/100*B4</f>
        <v>0</v>
      </c>
      <c r="C37" s="240">
        <v>7</v>
      </c>
      <c r="D37" s="221">
        <f t="shared" si="0"/>
        <v>0</v>
      </c>
      <c r="E37" s="240">
        <v>10</v>
      </c>
      <c r="F37" s="189">
        <f t="shared" si="4"/>
        <v>0</v>
      </c>
      <c r="G37" s="248">
        <v>8</v>
      </c>
      <c r="H37" s="224">
        <f t="shared" si="5"/>
        <v>0</v>
      </c>
      <c r="I37" s="248">
        <v>8</v>
      </c>
      <c r="J37" s="225">
        <f t="shared" si="6"/>
        <v>0</v>
      </c>
    </row>
    <row r="38" spans="1:10" x14ac:dyDescent="0.35">
      <c r="A38" s="190" t="s">
        <v>46</v>
      </c>
      <c r="B38" s="191">
        <f>4.9/100*B4</f>
        <v>0</v>
      </c>
      <c r="C38" s="192">
        <v>3</v>
      </c>
      <c r="D38" s="193">
        <f t="shared" si="0"/>
        <v>0</v>
      </c>
      <c r="E38" s="192">
        <v>5</v>
      </c>
      <c r="F38" s="194">
        <f t="shared" si="4"/>
        <v>0</v>
      </c>
      <c r="G38" s="244">
        <v>8</v>
      </c>
      <c r="H38" s="196">
        <f t="shared" si="5"/>
        <v>0</v>
      </c>
      <c r="I38" s="244">
        <v>8</v>
      </c>
      <c r="J38" s="197">
        <f t="shared" si="6"/>
        <v>0</v>
      </c>
    </row>
    <row r="39" spans="1:10" x14ac:dyDescent="0.35">
      <c r="A39" s="185" t="s">
        <v>47</v>
      </c>
      <c r="B39" s="223">
        <f>0.92/100*B4</f>
        <v>0</v>
      </c>
      <c r="C39" s="187">
        <v>1.2</v>
      </c>
      <c r="D39" s="221">
        <f t="shared" si="0"/>
        <v>0</v>
      </c>
      <c r="E39" s="187">
        <v>1.5</v>
      </c>
      <c r="F39" s="189">
        <f t="shared" si="4"/>
        <v>0</v>
      </c>
      <c r="G39" s="261">
        <v>1.9</v>
      </c>
      <c r="H39" s="169">
        <f t="shared" si="5"/>
        <v>0</v>
      </c>
      <c r="I39" s="261">
        <v>1.6</v>
      </c>
      <c r="J39" s="172">
        <f t="shared" si="6"/>
        <v>0</v>
      </c>
    </row>
    <row r="40" spans="1:10" x14ac:dyDescent="0.35">
      <c r="A40" s="190" t="s">
        <v>48</v>
      </c>
      <c r="B40" s="266">
        <f>560/100*B4</f>
        <v>0</v>
      </c>
      <c r="C40" s="192">
        <v>340</v>
      </c>
      <c r="D40" s="193">
        <f t="shared" si="0"/>
        <v>0</v>
      </c>
      <c r="E40" s="192">
        <v>440</v>
      </c>
      <c r="F40" s="194">
        <f t="shared" si="4"/>
        <v>0</v>
      </c>
      <c r="G40" s="244">
        <v>700</v>
      </c>
      <c r="H40" s="196">
        <f t="shared" si="5"/>
        <v>0</v>
      </c>
      <c r="I40" s="244">
        <v>700</v>
      </c>
      <c r="J40" s="197">
        <f t="shared" si="6"/>
        <v>0</v>
      </c>
    </row>
    <row r="41" spans="1:10" x14ac:dyDescent="0.35">
      <c r="A41" s="185" t="s">
        <v>49</v>
      </c>
      <c r="B41" s="186">
        <f>139/100*B4</f>
        <v>0</v>
      </c>
      <c r="C41" s="240">
        <v>90</v>
      </c>
      <c r="D41" s="221">
        <f t="shared" si="0"/>
        <v>0</v>
      </c>
      <c r="E41" s="240">
        <v>90</v>
      </c>
      <c r="F41" s="189">
        <f t="shared" si="4"/>
        <v>0</v>
      </c>
      <c r="G41" s="248">
        <v>120</v>
      </c>
      <c r="H41" s="224">
        <f t="shared" si="5"/>
        <v>0</v>
      </c>
      <c r="I41" s="248">
        <v>120</v>
      </c>
      <c r="J41" s="225">
        <f t="shared" si="6"/>
        <v>0</v>
      </c>
    </row>
    <row r="42" spans="1:10" x14ac:dyDescent="0.35">
      <c r="A42" s="190" t="s">
        <v>50</v>
      </c>
      <c r="B42" s="191">
        <f>25.5/100*B4</f>
        <v>0</v>
      </c>
      <c r="C42" s="192">
        <v>17</v>
      </c>
      <c r="D42" s="193">
        <f t="shared" si="0"/>
        <v>0</v>
      </c>
      <c r="E42" s="192">
        <v>22</v>
      </c>
      <c r="F42" s="194">
        <f t="shared" si="4"/>
        <v>0</v>
      </c>
      <c r="G42" s="244">
        <v>34</v>
      </c>
      <c r="H42" s="196">
        <f t="shared" si="5"/>
        <v>0</v>
      </c>
      <c r="I42" s="244">
        <v>34</v>
      </c>
      <c r="J42" s="197">
        <f t="shared" si="6"/>
        <v>0</v>
      </c>
    </row>
    <row r="43" spans="1:10" x14ac:dyDescent="0.35">
      <c r="A43" s="185" t="s">
        <v>51</v>
      </c>
      <c r="B43" s="186">
        <f>10.2/100*B4</f>
        <v>0</v>
      </c>
      <c r="C43" s="187">
        <v>11</v>
      </c>
      <c r="D43" s="221">
        <f t="shared" si="0"/>
        <v>0</v>
      </c>
      <c r="E43" s="187">
        <v>15</v>
      </c>
      <c r="F43" s="189">
        <f t="shared" si="4"/>
        <v>0</v>
      </c>
      <c r="G43" s="245">
        <v>25</v>
      </c>
      <c r="H43" s="169">
        <f t="shared" si="5"/>
        <v>0</v>
      </c>
      <c r="I43" s="245">
        <v>21</v>
      </c>
      <c r="J43" s="172">
        <f t="shared" si="6"/>
        <v>0</v>
      </c>
    </row>
    <row r="44" spans="1:10" x14ac:dyDescent="0.35">
      <c r="A44" s="190" t="s">
        <v>52</v>
      </c>
      <c r="B44" s="191">
        <f>28.2/100*B4</f>
        <v>0</v>
      </c>
      <c r="C44" s="256">
        <v>20</v>
      </c>
      <c r="D44" s="254">
        <f t="shared" si="0"/>
        <v>0</v>
      </c>
      <c r="E44" s="256">
        <v>30</v>
      </c>
      <c r="F44" s="255">
        <f t="shared" si="4"/>
        <v>0</v>
      </c>
      <c r="G44" s="244">
        <v>40</v>
      </c>
      <c r="H44" s="196">
        <f t="shared" si="5"/>
        <v>0</v>
      </c>
      <c r="I44" s="244">
        <v>40</v>
      </c>
      <c r="J44" s="197">
        <f t="shared" si="6"/>
        <v>0</v>
      </c>
    </row>
    <row r="45" spans="1:10" x14ac:dyDescent="0.35">
      <c r="A45" s="185" t="s">
        <v>53</v>
      </c>
      <c r="B45" s="265">
        <f>280/100*B4</f>
        <v>0</v>
      </c>
      <c r="C45" s="257">
        <v>800</v>
      </c>
      <c r="D45" s="234">
        <f>B45/C45</f>
        <v>0</v>
      </c>
      <c r="E45" s="257">
        <v>1000</v>
      </c>
      <c r="F45" s="235">
        <f>B45/E45</f>
        <v>0</v>
      </c>
      <c r="G45" s="245">
        <v>1200</v>
      </c>
      <c r="H45" s="169">
        <f t="shared" si="5"/>
        <v>0</v>
      </c>
      <c r="I45" s="245">
        <v>1200</v>
      </c>
      <c r="J45" s="172">
        <f t="shared" si="6"/>
        <v>0</v>
      </c>
    </row>
    <row r="46" spans="1:10" x14ac:dyDescent="0.35">
      <c r="A46" s="226" t="s">
        <v>54</v>
      </c>
      <c r="B46" s="267">
        <f>445/100*B4</f>
        <v>0</v>
      </c>
      <c r="C46" s="258">
        <v>2000</v>
      </c>
      <c r="D46" s="228">
        <f>B46/C46</f>
        <v>0</v>
      </c>
      <c r="E46" s="258">
        <v>2300</v>
      </c>
      <c r="F46" s="229">
        <f>B46/E46</f>
        <v>0</v>
      </c>
      <c r="G46" s="249">
        <v>2500</v>
      </c>
      <c r="H46" s="170">
        <f t="shared" si="5"/>
        <v>0</v>
      </c>
      <c r="I46" s="249">
        <v>2300</v>
      </c>
      <c r="J46" s="173">
        <f t="shared" si="6"/>
        <v>0</v>
      </c>
    </row>
    <row r="47" spans="1:10" ht="15" thickBot="1" x14ac:dyDescent="0.4">
      <c r="A47" s="236" t="s">
        <v>55</v>
      </c>
      <c r="B47" s="268">
        <f>406/100*B4</f>
        <v>0</v>
      </c>
      <c r="C47" s="259">
        <v>1500</v>
      </c>
      <c r="D47" s="237">
        <f>B47/C47</f>
        <v>0</v>
      </c>
      <c r="E47" s="259">
        <v>1900</v>
      </c>
      <c r="F47" s="238">
        <f>B47/E47</f>
        <v>0</v>
      </c>
      <c r="G47" s="262">
        <v>2300</v>
      </c>
      <c r="H47" s="232">
        <f t="shared" si="5"/>
        <v>0</v>
      </c>
      <c r="I47" s="262">
        <v>2300</v>
      </c>
      <c r="J47" s="233">
        <f t="shared" si="6"/>
        <v>0</v>
      </c>
    </row>
    <row r="48" spans="1:10" x14ac:dyDescent="0.35">
      <c r="A48" s="272" t="s">
        <v>56</v>
      </c>
    </row>
    <row r="49" spans="1:1" x14ac:dyDescent="0.35">
      <c r="A49" t="s">
        <v>57</v>
      </c>
    </row>
    <row r="50" spans="1:1" x14ac:dyDescent="0.35">
      <c r="A50" t="s">
        <v>58</v>
      </c>
    </row>
    <row r="51" spans="1:1" x14ac:dyDescent="0.35">
      <c r="A51" s="274" t="s">
        <v>127</v>
      </c>
    </row>
  </sheetData>
  <sheetProtection algorithmName="SHA-512" hashValue="e7xvGAHscBEPZVme5OUMBWIUgN9rDgb+1ohClLHYCN0Du9sXT3sRe63oJZ7DaT1Ur/DBxajuP0ac5GkmEzjqNw==" saltValue="37ptQqr+FLIYMRobZ0Iq4w==" spinCount="100000" sheet="1" objects="1" scenarios="1"/>
  <mergeCells count="4">
    <mergeCell ref="C2:J2"/>
    <mergeCell ref="A3:B3"/>
    <mergeCell ref="A17:B17"/>
    <mergeCell ref="A33:B3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3F040-94F6-447C-AF54-DCA941CA3FC0}">
  <sheetPr>
    <tabColor theme="5"/>
  </sheetPr>
  <dimension ref="A1:J51"/>
  <sheetViews>
    <sheetView showGridLines="0" zoomScale="90" zoomScaleNormal="90" workbookViewId="0">
      <selection activeCell="O16" sqref="O16"/>
    </sheetView>
  </sheetViews>
  <sheetFormatPr defaultColWidth="9.1796875" defaultRowHeight="14.5" x14ac:dyDescent="0.35"/>
  <cols>
    <col min="1" max="1" width="26" customWidth="1"/>
    <col min="2" max="2" width="12.54296875" customWidth="1"/>
    <col min="7" max="7" width="10.1796875" customWidth="1"/>
    <col min="8" max="9" width="10.54296875" customWidth="1"/>
    <col min="10" max="10" width="9.81640625" customWidth="1"/>
    <col min="11" max="11" width="4.26953125" customWidth="1"/>
  </cols>
  <sheetData>
    <row r="1" spans="1:10" ht="15" thickBot="1" x14ac:dyDescent="0.4">
      <c r="A1" s="275" t="s">
        <v>2</v>
      </c>
      <c r="B1" s="276" t="s">
        <v>59</v>
      </c>
      <c r="C1" s="276" t="s">
        <v>59</v>
      </c>
      <c r="D1" s="276" t="s">
        <v>59</v>
      </c>
      <c r="E1" s="276"/>
      <c r="F1" s="276"/>
      <c r="G1" s="277"/>
      <c r="H1" s="277"/>
      <c r="I1" s="277"/>
      <c r="J1" s="278"/>
    </row>
    <row r="2" spans="1:10" ht="75" customHeight="1" thickBot="1" x14ac:dyDescent="0.4">
      <c r="A2" s="279" t="s">
        <v>3</v>
      </c>
      <c r="B2" s="13">
        <v>0</v>
      </c>
      <c r="C2" s="369" t="s">
        <v>78</v>
      </c>
      <c r="D2" s="370"/>
      <c r="E2" s="370"/>
      <c r="F2" s="370"/>
      <c r="G2" s="371"/>
      <c r="H2" s="371"/>
      <c r="I2" s="371"/>
      <c r="J2" s="372"/>
    </row>
    <row r="3" spans="1:10" ht="44" thickBot="1" x14ac:dyDescent="0.4">
      <c r="A3" s="360" t="s">
        <v>128</v>
      </c>
      <c r="B3" s="373"/>
      <c r="C3" s="280" t="s">
        <v>61</v>
      </c>
      <c r="D3" s="280" t="s">
        <v>10</v>
      </c>
      <c r="E3" s="27" t="s">
        <v>62</v>
      </c>
      <c r="F3" s="281" t="s">
        <v>63</v>
      </c>
      <c r="G3" s="282" t="s">
        <v>64</v>
      </c>
      <c r="H3" s="282" t="s">
        <v>65</v>
      </c>
      <c r="I3" s="283" t="s">
        <v>66</v>
      </c>
      <c r="J3" s="283" t="s">
        <v>67</v>
      </c>
    </row>
    <row r="4" spans="1:10" x14ac:dyDescent="0.35">
      <c r="A4" s="175" t="s">
        <v>11</v>
      </c>
      <c r="B4" s="176">
        <f>B2*100/28</f>
        <v>0</v>
      </c>
      <c r="C4" s="177"/>
      <c r="D4" s="178"/>
      <c r="E4" s="177"/>
      <c r="F4" s="179"/>
      <c r="G4" s="164"/>
      <c r="H4" s="155"/>
      <c r="I4" s="155"/>
      <c r="J4" s="158"/>
    </row>
    <row r="5" spans="1:10" x14ac:dyDescent="0.35">
      <c r="A5" s="180" t="s">
        <v>68</v>
      </c>
      <c r="B5" s="181">
        <f>(100/9)/100*B4</f>
        <v>0</v>
      </c>
      <c r="C5" s="182"/>
      <c r="D5" s="183"/>
      <c r="E5" s="182"/>
      <c r="F5" s="184"/>
      <c r="G5" s="165"/>
      <c r="H5" s="160"/>
      <c r="I5" s="160"/>
      <c r="J5" s="161"/>
    </row>
    <row r="6" spans="1:10" x14ac:dyDescent="0.35">
      <c r="A6" s="185" t="s">
        <v>69</v>
      </c>
      <c r="B6" s="186">
        <f>377/100*B4</f>
        <v>0</v>
      </c>
      <c r="C6" s="187"/>
      <c r="D6" s="188"/>
      <c r="E6" s="187"/>
      <c r="F6" s="189"/>
      <c r="G6" s="166"/>
      <c r="H6" s="156"/>
      <c r="I6" s="156"/>
      <c r="J6" s="159"/>
    </row>
    <row r="7" spans="1:10" x14ac:dyDescent="0.35">
      <c r="A7" s="190" t="s">
        <v>14</v>
      </c>
      <c r="B7" s="191">
        <f>B2</f>
        <v>0</v>
      </c>
      <c r="C7" s="192">
        <v>13</v>
      </c>
      <c r="D7" s="193">
        <f>B7/C7</f>
        <v>0</v>
      </c>
      <c r="E7" s="192">
        <v>19</v>
      </c>
      <c r="F7" s="194">
        <f>B7/E7</f>
        <v>0</v>
      </c>
      <c r="G7" s="195">
        <v>34</v>
      </c>
      <c r="H7" s="196">
        <f>B7/G7</f>
        <v>0</v>
      </c>
      <c r="I7" s="195">
        <v>34</v>
      </c>
      <c r="J7" s="197">
        <f>B7/I7</f>
        <v>0</v>
      </c>
    </row>
    <row r="8" spans="1:10" x14ac:dyDescent="0.35">
      <c r="A8" s="198" t="s">
        <v>15</v>
      </c>
      <c r="B8" s="199">
        <f>12.5/100*B4</f>
        <v>0</v>
      </c>
      <c r="C8" s="200"/>
      <c r="D8" s="201"/>
      <c r="E8" s="200"/>
      <c r="F8" s="202"/>
      <c r="G8" s="167"/>
      <c r="H8" s="157"/>
      <c r="I8" s="163"/>
      <c r="J8" s="203"/>
    </row>
    <row r="9" spans="1:10" x14ac:dyDescent="0.35">
      <c r="A9" s="284" t="s">
        <v>70</v>
      </c>
      <c r="B9" s="87">
        <f>2/28*B2</f>
        <v>0</v>
      </c>
      <c r="C9" s="37"/>
      <c r="D9" s="38"/>
      <c r="E9" s="37"/>
      <c r="F9" s="38"/>
      <c r="G9" s="167"/>
      <c r="H9" s="157"/>
      <c r="I9" s="163"/>
      <c r="J9" s="203"/>
    </row>
    <row r="10" spans="1:10" x14ac:dyDescent="0.35">
      <c r="A10" s="284" t="s">
        <v>71</v>
      </c>
      <c r="B10" s="87">
        <f>8.2/28*B2</f>
        <v>0</v>
      </c>
      <c r="C10" s="37"/>
      <c r="D10" s="38"/>
      <c r="E10" s="37"/>
      <c r="F10" s="38"/>
      <c r="G10" s="167"/>
      <c r="H10" s="157"/>
      <c r="I10" s="163"/>
      <c r="J10" s="203"/>
    </row>
    <row r="11" spans="1:10" x14ac:dyDescent="0.35">
      <c r="A11" s="284" t="s">
        <v>72</v>
      </c>
      <c r="B11" s="87">
        <f>1.8/28*B2</f>
        <v>0</v>
      </c>
      <c r="C11" s="37"/>
      <c r="D11" s="38"/>
      <c r="E11" s="37"/>
      <c r="F11" s="38"/>
      <c r="G11" s="167"/>
      <c r="H11" s="157"/>
      <c r="I11" s="163"/>
      <c r="J11" s="203"/>
    </row>
    <row r="12" spans="1:10" x14ac:dyDescent="0.35">
      <c r="A12" s="58" t="s">
        <v>73</v>
      </c>
      <c r="B12" s="59">
        <f>180/100*B4</f>
        <v>0</v>
      </c>
      <c r="C12" s="37"/>
      <c r="D12" s="38"/>
      <c r="E12" s="37"/>
      <c r="F12" s="38"/>
      <c r="G12" s="168"/>
      <c r="H12" s="157"/>
      <c r="I12" s="163"/>
      <c r="J12" s="203"/>
    </row>
    <row r="13" spans="1:10" x14ac:dyDescent="0.35">
      <c r="A13" s="47" t="s">
        <v>23</v>
      </c>
      <c r="B13" s="48">
        <f>41.2/100*B4</f>
        <v>0</v>
      </c>
      <c r="C13" s="204">
        <v>130</v>
      </c>
      <c r="D13" s="50">
        <f>B13/C13</f>
        <v>0</v>
      </c>
      <c r="E13" s="204">
        <v>130</v>
      </c>
      <c r="F13" s="50">
        <f>B13/E13</f>
        <v>0</v>
      </c>
      <c r="G13" s="195">
        <v>130</v>
      </c>
      <c r="H13" s="196">
        <f>B13/G13</f>
        <v>0</v>
      </c>
      <c r="I13" s="195">
        <v>130</v>
      </c>
      <c r="J13" s="197">
        <f>B13/I13</f>
        <v>0</v>
      </c>
    </row>
    <row r="14" spans="1:10" x14ac:dyDescent="0.35">
      <c r="A14" s="58" t="s">
        <v>74</v>
      </c>
      <c r="B14" s="59">
        <f>11.2/100*B4</f>
        <v>0</v>
      </c>
      <c r="C14" s="60">
        <v>19</v>
      </c>
      <c r="D14" s="61">
        <f>B14/C14</f>
        <v>0</v>
      </c>
      <c r="E14" s="60">
        <v>25</v>
      </c>
      <c r="F14" s="61">
        <f>B14/E14</f>
        <v>0</v>
      </c>
      <c r="G14" s="205">
        <v>31</v>
      </c>
      <c r="H14" s="206">
        <f>B14/G14</f>
        <v>0</v>
      </c>
      <c r="I14" s="205">
        <v>26</v>
      </c>
      <c r="J14" s="207">
        <f>B14/I14</f>
        <v>0</v>
      </c>
    </row>
    <row r="15" spans="1:10" x14ac:dyDescent="0.35">
      <c r="A15" s="58" t="s">
        <v>75</v>
      </c>
      <c r="B15" s="59">
        <f>8/100*B4</f>
        <v>0</v>
      </c>
      <c r="C15" s="60"/>
      <c r="D15" s="61"/>
      <c r="E15" s="60"/>
      <c r="F15" s="61"/>
      <c r="G15" s="205"/>
      <c r="H15" s="206"/>
      <c r="I15" s="208"/>
      <c r="J15" s="207"/>
    </row>
    <row r="16" spans="1:10" ht="15" thickBot="1" x14ac:dyDescent="0.4">
      <c r="A16" s="209" t="s">
        <v>76</v>
      </c>
      <c r="B16" s="263">
        <f>3.2/100*B4</f>
        <v>0</v>
      </c>
      <c r="C16" s="210"/>
      <c r="D16" s="211"/>
      <c r="E16" s="210"/>
      <c r="F16" s="211"/>
      <c r="G16" s="212"/>
      <c r="H16" s="213"/>
      <c r="I16" s="214"/>
      <c r="J16" s="215"/>
    </row>
    <row r="17" spans="1:10" ht="44" thickBot="1" x14ac:dyDescent="0.4">
      <c r="A17" s="374" t="s">
        <v>25</v>
      </c>
      <c r="B17" s="375"/>
      <c r="C17" s="280" t="s">
        <v>61</v>
      </c>
      <c r="D17" s="280" t="s">
        <v>10</v>
      </c>
      <c r="E17" s="27" t="s">
        <v>62</v>
      </c>
      <c r="F17" s="281" t="s">
        <v>63</v>
      </c>
      <c r="G17" s="282" t="s">
        <v>64</v>
      </c>
      <c r="H17" s="282" t="s">
        <v>65</v>
      </c>
      <c r="I17" s="283" t="s">
        <v>66</v>
      </c>
      <c r="J17" s="283" t="s">
        <v>67</v>
      </c>
    </row>
    <row r="18" spans="1:10" x14ac:dyDescent="0.35">
      <c r="A18" s="216" t="s">
        <v>26</v>
      </c>
      <c r="B18" s="264">
        <f>420/100*B4</f>
        <v>0</v>
      </c>
      <c r="C18" s="239">
        <v>300</v>
      </c>
      <c r="D18" s="217">
        <f t="shared" ref="D18:D44" si="0">B18/C18</f>
        <v>0</v>
      </c>
      <c r="E18" s="239">
        <v>400</v>
      </c>
      <c r="F18" s="218">
        <f t="shared" ref="F18:F31" si="1">B18/E18</f>
        <v>0</v>
      </c>
      <c r="G18" s="242">
        <v>600</v>
      </c>
      <c r="H18" s="219">
        <f>B18/G18</f>
        <v>0</v>
      </c>
      <c r="I18" s="242">
        <v>600</v>
      </c>
      <c r="J18" s="220">
        <f>B18/I18</f>
        <v>0</v>
      </c>
    </row>
    <row r="19" spans="1:10" x14ac:dyDescent="0.35">
      <c r="A19" s="185" t="s">
        <v>27</v>
      </c>
      <c r="B19" s="186">
        <f>21/100*B4</f>
        <v>0</v>
      </c>
      <c r="C19" s="240">
        <v>15</v>
      </c>
      <c r="D19" s="221">
        <f t="shared" si="0"/>
        <v>0</v>
      </c>
      <c r="E19" s="240">
        <v>15</v>
      </c>
      <c r="F19" s="189">
        <f t="shared" si="1"/>
        <v>0</v>
      </c>
      <c r="G19" s="243">
        <v>15</v>
      </c>
      <c r="H19" s="169">
        <f t="shared" ref="H19:H31" si="2">B19/G19</f>
        <v>0</v>
      </c>
      <c r="I19" s="243">
        <v>15</v>
      </c>
      <c r="J19" s="172">
        <f t="shared" ref="J19:J31" si="3">B19/I19</f>
        <v>0</v>
      </c>
    </row>
    <row r="20" spans="1:10" x14ac:dyDescent="0.35">
      <c r="A20" s="190" t="s">
        <v>28</v>
      </c>
      <c r="B20" s="191">
        <f>8.4/100*B4</f>
        <v>0</v>
      </c>
      <c r="C20" s="192">
        <v>6</v>
      </c>
      <c r="D20" s="193">
        <f t="shared" si="0"/>
        <v>0</v>
      </c>
      <c r="E20" s="192">
        <v>7</v>
      </c>
      <c r="F20" s="194">
        <f t="shared" si="1"/>
        <v>0</v>
      </c>
      <c r="G20" s="244">
        <v>11</v>
      </c>
      <c r="H20" s="196">
        <f t="shared" si="2"/>
        <v>0</v>
      </c>
      <c r="I20" s="244">
        <v>11</v>
      </c>
      <c r="J20" s="197">
        <f t="shared" si="3"/>
        <v>0</v>
      </c>
    </row>
    <row r="21" spans="1:10" x14ac:dyDescent="0.35">
      <c r="A21" s="185" t="s">
        <v>29</v>
      </c>
      <c r="B21" s="186">
        <f>14/100*B4</f>
        <v>0</v>
      </c>
      <c r="C21" s="187">
        <v>30</v>
      </c>
      <c r="D21" s="221">
        <f t="shared" si="0"/>
        <v>0</v>
      </c>
      <c r="E21" s="187">
        <v>55</v>
      </c>
      <c r="F21" s="189">
        <f t="shared" si="1"/>
        <v>0</v>
      </c>
      <c r="G21" s="245">
        <v>60</v>
      </c>
      <c r="H21" s="169">
        <f t="shared" si="2"/>
        <v>0</v>
      </c>
      <c r="I21" s="245">
        <v>60</v>
      </c>
      <c r="J21" s="172">
        <f t="shared" si="3"/>
        <v>0</v>
      </c>
    </row>
    <row r="22" spans="1:10" x14ac:dyDescent="0.35">
      <c r="A22" s="190" t="s">
        <v>30</v>
      </c>
      <c r="B22" s="222">
        <f>0.73/100*B4</f>
        <v>0</v>
      </c>
      <c r="C22" s="192">
        <v>0.5</v>
      </c>
      <c r="D22" s="193">
        <f t="shared" si="0"/>
        <v>0</v>
      </c>
      <c r="E22" s="192">
        <v>0.6</v>
      </c>
      <c r="F22" s="194">
        <f t="shared" si="1"/>
        <v>0</v>
      </c>
      <c r="G22" s="246">
        <v>0.9</v>
      </c>
      <c r="H22" s="196">
        <f t="shared" si="2"/>
        <v>0</v>
      </c>
      <c r="I22" s="246">
        <v>0.9</v>
      </c>
      <c r="J22" s="197">
        <f t="shared" si="3"/>
        <v>0</v>
      </c>
    </row>
    <row r="23" spans="1:10" x14ac:dyDescent="0.35">
      <c r="A23" s="185" t="s">
        <v>31</v>
      </c>
      <c r="B23" s="223">
        <f>0.73/100*B4</f>
        <v>0</v>
      </c>
      <c r="C23" s="240">
        <v>0.5</v>
      </c>
      <c r="D23" s="221">
        <f t="shared" si="0"/>
        <v>0</v>
      </c>
      <c r="E23" s="240">
        <v>0.6</v>
      </c>
      <c r="F23" s="189">
        <f t="shared" si="1"/>
        <v>0</v>
      </c>
      <c r="G23" s="247">
        <v>0.9</v>
      </c>
      <c r="H23" s="224">
        <f t="shared" si="2"/>
        <v>0</v>
      </c>
      <c r="I23" s="247">
        <v>0.9</v>
      </c>
      <c r="J23" s="225">
        <f t="shared" si="3"/>
        <v>0</v>
      </c>
    </row>
    <row r="24" spans="1:10" x14ac:dyDescent="0.35">
      <c r="A24" s="190" t="s">
        <v>32</v>
      </c>
      <c r="B24" s="222">
        <f>0.73/100*B4</f>
        <v>0</v>
      </c>
      <c r="C24" s="192">
        <v>0.5</v>
      </c>
      <c r="D24" s="193">
        <f t="shared" si="0"/>
        <v>0</v>
      </c>
      <c r="E24" s="192">
        <v>0.6</v>
      </c>
      <c r="F24" s="194">
        <f t="shared" si="1"/>
        <v>0</v>
      </c>
      <c r="G24" s="246">
        <v>1</v>
      </c>
      <c r="H24" s="196">
        <f t="shared" si="2"/>
        <v>0</v>
      </c>
      <c r="I24" s="246">
        <v>1</v>
      </c>
      <c r="J24" s="197">
        <f t="shared" si="3"/>
        <v>0</v>
      </c>
    </row>
    <row r="25" spans="1:10" x14ac:dyDescent="0.35">
      <c r="A25" s="185" t="s">
        <v>33</v>
      </c>
      <c r="B25" s="223">
        <f>1.3/100*B4</f>
        <v>0</v>
      </c>
      <c r="C25" s="240">
        <v>0.9</v>
      </c>
      <c r="D25" s="221">
        <f t="shared" si="0"/>
        <v>0</v>
      </c>
      <c r="E25" s="240">
        <v>1.2</v>
      </c>
      <c r="F25" s="189">
        <f t="shared" si="1"/>
        <v>0</v>
      </c>
      <c r="G25" s="247">
        <v>1.8</v>
      </c>
      <c r="H25" s="224">
        <f t="shared" si="2"/>
        <v>0</v>
      </c>
      <c r="I25" s="247">
        <v>1.8</v>
      </c>
      <c r="J25" s="225">
        <f t="shared" si="3"/>
        <v>0</v>
      </c>
    </row>
    <row r="26" spans="1:10" x14ac:dyDescent="0.35">
      <c r="A26" s="190" t="s">
        <v>34</v>
      </c>
      <c r="B26" s="222">
        <f>2/100*B4</f>
        <v>0</v>
      </c>
      <c r="C26" s="192">
        <v>6</v>
      </c>
      <c r="D26" s="193">
        <f t="shared" si="0"/>
        <v>0</v>
      </c>
      <c r="E26" s="192">
        <v>8</v>
      </c>
      <c r="F26" s="194">
        <f t="shared" si="1"/>
        <v>0</v>
      </c>
      <c r="G26" s="244">
        <v>12</v>
      </c>
      <c r="H26" s="196">
        <f t="shared" si="2"/>
        <v>0</v>
      </c>
      <c r="I26" s="244">
        <v>12</v>
      </c>
      <c r="J26" s="197">
        <f t="shared" si="3"/>
        <v>0</v>
      </c>
    </row>
    <row r="27" spans="1:10" x14ac:dyDescent="0.35">
      <c r="A27" s="185" t="s">
        <v>35</v>
      </c>
      <c r="B27" s="186">
        <f>210/100*B4</f>
        <v>0</v>
      </c>
      <c r="C27" s="240">
        <v>150</v>
      </c>
      <c r="D27" s="221">
        <f t="shared" si="0"/>
        <v>0</v>
      </c>
      <c r="E27" s="240">
        <v>200</v>
      </c>
      <c r="F27" s="189">
        <f t="shared" si="1"/>
        <v>0</v>
      </c>
      <c r="G27" s="248">
        <v>300</v>
      </c>
      <c r="H27" s="224">
        <f t="shared" si="2"/>
        <v>0</v>
      </c>
      <c r="I27" s="248">
        <v>300</v>
      </c>
      <c r="J27" s="225">
        <f t="shared" si="3"/>
        <v>0</v>
      </c>
    </row>
    <row r="28" spans="1:10" x14ac:dyDescent="0.35">
      <c r="A28" s="190" t="s">
        <v>36</v>
      </c>
      <c r="B28" s="191">
        <f>4.2/100*B4</f>
        <v>0</v>
      </c>
      <c r="C28" s="241">
        <v>2</v>
      </c>
      <c r="D28" s="193">
        <f t="shared" si="0"/>
        <v>0</v>
      </c>
      <c r="E28" s="241">
        <v>3</v>
      </c>
      <c r="F28" s="194">
        <f t="shared" si="1"/>
        <v>0</v>
      </c>
      <c r="G28" s="249">
        <v>4</v>
      </c>
      <c r="H28" s="170">
        <f t="shared" si="2"/>
        <v>0</v>
      </c>
      <c r="I28" s="249">
        <v>4</v>
      </c>
      <c r="J28" s="173">
        <f t="shared" si="3"/>
        <v>0</v>
      </c>
    </row>
    <row r="29" spans="1:10" x14ac:dyDescent="0.35">
      <c r="A29" s="185" t="s">
        <v>37</v>
      </c>
      <c r="B29" s="186">
        <f>11.2/100*B4</f>
        <v>0</v>
      </c>
      <c r="C29" s="187">
        <v>8</v>
      </c>
      <c r="D29" s="221">
        <f t="shared" si="0"/>
        <v>0</v>
      </c>
      <c r="E29" s="187">
        <v>12</v>
      </c>
      <c r="F29" s="189">
        <f t="shared" si="1"/>
        <v>0</v>
      </c>
      <c r="G29" s="245">
        <v>20</v>
      </c>
      <c r="H29" s="169">
        <f t="shared" si="2"/>
        <v>0</v>
      </c>
      <c r="I29" s="245">
        <v>20</v>
      </c>
      <c r="J29" s="172">
        <f t="shared" si="3"/>
        <v>0</v>
      </c>
    </row>
    <row r="30" spans="1:10" x14ac:dyDescent="0.35">
      <c r="A30" s="190" t="s">
        <v>38</v>
      </c>
      <c r="B30" s="191">
        <f>42/100*B4</f>
        <v>0</v>
      </c>
      <c r="C30" s="192">
        <v>15</v>
      </c>
      <c r="D30" s="193">
        <f t="shared" si="0"/>
        <v>0</v>
      </c>
      <c r="E30" s="192">
        <v>25</v>
      </c>
      <c r="F30" s="194">
        <f t="shared" si="1"/>
        <v>0</v>
      </c>
      <c r="G30" s="244">
        <v>45</v>
      </c>
      <c r="H30" s="196">
        <f t="shared" si="2"/>
        <v>0</v>
      </c>
      <c r="I30" s="244">
        <v>45</v>
      </c>
      <c r="J30" s="197">
        <f t="shared" si="3"/>
        <v>0</v>
      </c>
    </row>
    <row r="31" spans="1:10" x14ac:dyDescent="0.35">
      <c r="A31" s="185" t="s">
        <v>39</v>
      </c>
      <c r="B31" s="186">
        <f>224/100*B4</f>
        <v>0</v>
      </c>
      <c r="C31" s="200">
        <v>200</v>
      </c>
      <c r="D31" s="201">
        <f t="shared" si="0"/>
        <v>0</v>
      </c>
      <c r="E31" s="200">
        <v>250</v>
      </c>
      <c r="F31" s="202">
        <f t="shared" si="1"/>
        <v>0</v>
      </c>
      <c r="G31" s="245">
        <v>375</v>
      </c>
      <c r="H31" s="169">
        <f t="shared" si="2"/>
        <v>0</v>
      </c>
      <c r="I31" s="245">
        <v>375</v>
      </c>
      <c r="J31" s="172">
        <f t="shared" si="3"/>
        <v>0</v>
      </c>
    </row>
    <row r="32" spans="1:10" ht="15" thickBot="1" x14ac:dyDescent="0.4">
      <c r="A32" s="226" t="s">
        <v>40</v>
      </c>
      <c r="B32" s="227">
        <f>56/100*B4</f>
        <v>0</v>
      </c>
      <c r="C32" s="251" t="s">
        <v>16</v>
      </c>
      <c r="D32" s="252"/>
      <c r="E32" s="251" t="s">
        <v>16</v>
      </c>
      <c r="F32" s="253"/>
      <c r="G32" s="250" t="s">
        <v>16</v>
      </c>
      <c r="H32" s="171"/>
      <c r="I32" s="250" t="s">
        <v>16</v>
      </c>
      <c r="J32" s="174"/>
    </row>
    <row r="33" spans="1:10" ht="44" thickBot="1" x14ac:dyDescent="0.4">
      <c r="A33" s="362" t="s">
        <v>77</v>
      </c>
      <c r="B33" s="363"/>
      <c r="C33" s="280" t="s">
        <v>61</v>
      </c>
      <c r="D33" s="280" t="s">
        <v>10</v>
      </c>
      <c r="E33" s="27" t="s">
        <v>62</v>
      </c>
      <c r="F33" s="281" t="s">
        <v>63</v>
      </c>
      <c r="G33" s="285" t="s">
        <v>64</v>
      </c>
      <c r="H33" s="285" t="s">
        <v>65</v>
      </c>
      <c r="I33" s="286" t="s">
        <v>66</v>
      </c>
      <c r="J33" s="286" t="s">
        <v>67</v>
      </c>
    </row>
    <row r="34" spans="1:10" x14ac:dyDescent="0.35">
      <c r="A34" s="216" t="s">
        <v>42</v>
      </c>
      <c r="B34" s="264">
        <f>980/100*B4</f>
        <v>0</v>
      </c>
      <c r="C34" s="239">
        <v>700</v>
      </c>
      <c r="D34" s="217">
        <f t="shared" si="0"/>
        <v>0</v>
      </c>
      <c r="E34" s="239">
        <v>1000</v>
      </c>
      <c r="F34" s="218">
        <f t="shared" ref="F34:F44" si="4">B34/E34</f>
        <v>0</v>
      </c>
      <c r="G34" s="260">
        <v>1300</v>
      </c>
      <c r="H34" s="230">
        <f>B34/G34</f>
        <v>0</v>
      </c>
      <c r="I34" s="260">
        <v>1300</v>
      </c>
      <c r="J34" s="231">
        <f>B34/I34</f>
        <v>0</v>
      </c>
    </row>
    <row r="35" spans="1:10" x14ac:dyDescent="0.35">
      <c r="A35" s="185" t="s">
        <v>43</v>
      </c>
      <c r="B35" s="265">
        <f>641/100*B4</f>
        <v>0</v>
      </c>
      <c r="C35" s="240">
        <v>460</v>
      </c>
      <c r="D35" s="221">
        <f t="shared" si="0"/>
        <v>0</v>
      </c>
      <c r="E35" s="240">
        <v>500</v>
      </c>
      <c r="F35" s="189">
        <f t="shared" si="4"/>
        <v>0</v>
      </c>
      <c r="G35" s="248">
        <v>1250</v>
      </c>
      <c r="H35" s="224">
        <f t="shared" ref="H35:H47" si="5">B35/G35</f>
        <v>0</v>
      </c>
      <c r="I35" s="248">
        <v>1250</v>
      </c>
      <c r="J35" s="225">
        <f t="shared" ref="J35:J47" si="6">B35/I35</f>
        <v>0</v>
      </c>
    </row>
    <row r="36" spans="1:10" x14ac:dyDescent="0.35">
      <c r="A36" s="190" t="s">
        <v>44</v>
      </c>
      <c r="B36" s="191">
        <f>113/100*B4</f>
        <v>0</v>
      </c>
      <c r="C36" s="192">
        <v>80</v>
      </c>
      <c r="D36" s="193">
        <f t="shared" si="0"/>
        <v>0</v>
      </c>
      <c r="E36" s="192">
        <v>130</v>
      </c>
      <c r="F36" s="194">
        <f t="shared" si="4"/>
        <v>0</v>
      </c>
      <c r="G36" s="244">
        <v>240</v>
      </c>
      <c r="H36" s="196">
        <f t="shared" si="5"/>
        <v>0</v>
      </c>
      <c r="I36" s="244">
        <v>240</v>
      </c>
      <c r="J36" s="197">
        <f t="shared" si="6"/>
        <v>0</v>
      </c>
    </row>
    <row r="37" spans="1:10" x14ac:dyDescent="0.35">
      <c r="A37" s="185" t="s">
        <v>45</v>
      </c>
      <c r="B37" s="186">
        <f>10/100*B4</f>
        <v>0</v>
      </c>
      <c r="C37" s="240">
        <v>7</v>
      </c>
      <c r="D37" s="221">
        <f t="shared" si="0"/>
        <v>0</v>
      </c>
      <c r="E37" s="240">
        <v>10</v>
      </c>
      <c r="F37" s="189">
        <f t="shared" si="4"/>
        <v>0</v>
      </c>
      <c r="G37" s="248">
        <v>8</v>
      </c>
      <c r="H37" s="224">
        <f t="shared" si="5"/>
        <v>0</v>
      </c>
      <c r="I37" s="248">
        <v>8</v>
      </c>
      <c r="J37" s="225">
        <f t="shared" si="6"/>
        <v>0</v>
      </c>
    </row>
    <row r="38" spans="1:10" x14ac:dyDescent="0.35">
      <c r="A38" s="190" t="s">
        <v>46</v>
      </c>
      <c r="B38" s="191">
        <f>4.9/100*B4</f>
        <v>0</v>
      </c>
      <c r="C38" s="192">
        <v>3</v>
      </c>
      <c r="D38" s="193">
        <f t="shared" si="0"/>
        <v>0</v>
      </c>
      <c r="E38" s="192">
        <v>5</v>
      </c>
      <c r="F38" s="194">
        <f t="shared" si="4"/>
        <v>0</v>
      </c>
      <c r="G38" s="244">
        <v>8</v>
      </c>
      <c r="H38" s="196">
        <f t="shared" si="5"/>
        <v>0</v>
      </c>
      <c r="I38" s="244">
        <v>8</v>
      </c>
      <c r="J38" s="197">
        <f t="shared" si="6"/>
        <v>0</v>
      </c>
    </row>
    <row r="39" spans="1:10" x14ac:dyDescent="0.35">
      <c r="A39" s="185" t="s">
        <v>47</v>
      </c>
      <c r="B39" s="223">
        <f>0.92/100*B4</f>
        <v>0</v>
      </c>
      <c r="C39" s="187">
        <v>1.2</v>
      </c>
      <c r="D39" s="221">
        <f t="shared" si="0"/>
        <v>0</v>
      </c>
      <c r="E39" s="187">
        <v>1.5</v>
      </c>
      <c r="F39" s="189">
        <f t="shared" si="4"/>
        <v>0</v>
      </c>
      <c r="G39" s="261">
        <v>1.9</v>
      </c>
      <c r="H39" s="169">
        <f t="shared" si="5"/>
        <v>0</v>
      </c>
      <c r="I39" s="261">
        <v>1.6</v>
      </c>
      <c r="J39" s="172">
        <f t="shared" si="6"/>
        <v>0</v>
      </c>
    </row>
    <row r="40" spans="1:10" x14ac:dyDescent="0.35">
      <c r="A40" s="190" t="s">
        <v>48</v>
      </c>
      <c r="B40" s="266">
        <f>560/100*B4</f>
        <v>0</v>
      </c>
      <c r="C40" s="192">
        <v>340</v>
      </c>
      <c r="D40" s="193">
        <f t="shared" si="0"/>
        <v>0</v>
      </c>
      <c r="E40" s="192">
        <v>440</v>
      </c>
      <c r="F40" s="194">
        <f t="shared" si="4"/>
        <v>0</v>
      </c>
      <c r="G40" s="244">
        <v>700</v>
      </c>
      <c r="H40" s="196">
        <f t="shared" si="5"/>
        <v>0</v>
      </c>
      <c r="I40" s="244">
        <v>700</v>
      </c>
      <c r="J40" s="197">
        <f t="shared" si="6"/>
        <v>0</v>
      </c>
    </row>
    <row r="41" spans="1:10" x14ac:dyDescent="0.35">
      <c r="A41" s="185" t="s">
        <v>49</v>
      </c>
      <c r="B41" s="186">
        <f>139/100*B4</f>
        <v>0</v>
      </c>
      <c r="C41" s="240">
        <v>90</v>
      </c>
      <c r="D41" s="221">
        <f t="shared" si="0"/>
        <v>0</v>
      </c>
      <c r="E41" s="240">
        <v>90</v>
      </c>
      <c r="F41" s="189">
        <f t="shared" si="4"/>
        <v>0</v>
      </c>
      <c r="G41" s="248">
        <v>120</v>
      </c>
      <c r="H41" s="224">
        <f t="shared" si="5"/>
        <v>0</v>
      </c>
      <c r="I41" s="248">
        <v>120</v>
      </c>
      <c r="J41" s="225">
        <f t="shared" si="6"/>
        <v>0</v>
      </c>
    </row>
    <row r="42" spans="1:10" x14ac:dyDescent="0.35">
      <c r="A42" s="190" t="s">
        <v>50</v>
      </c>
      <c r="B42" s="191">
        <f>25.5/100*B4</f>
        <v>0</v>
      </c>
      <c r="C42" s="192">
        <v>17</v>
      </c>
      <c r="D42" s="193">
        <f t="shared" si="0"/>
        <v>0</v>
      </c>
      <c r="E42" s="192">
        <v>22</v>
      </c>
      <c r="F42" s="194">
        <f t="shared" si="4"/>
        <v>0</v>
      </c>
      <c r="G42" s="244">
        <v>34</v>
      </c>
      <c r="H42" s="196">
        <f t="shared" si="5"/>
        <v>0</v>
      </c>
      <c r="I42" s="244">
        <v>34</v>
      </c>
      <c r="J42" s="197">
        <f t="shared" si="6"/>
        <v>0</v>
      </c>
    </row>
    <row r="43" spans="1:10" x14ac:dyDescent="0.35">
      <c r="A43" s="185" t="s">
        <v>51</v>
      </c>
      <c r="B43" s="186">
        <f>10.2/100*B4</f>
        <v>0</v>
      </c>
      <c r="C43" s="187">
        <v>11</v>
      </c>
      <c r="D43" s="221">
        <f t="shared" si="0"/>
        <v>0</v>
      </c>
      <c r="E43" s="187">
        <v>15</v>
      </c>
      <c r="F43" s="189">
        <f t="shared" si="4"/>
        <v>0</v>
      </c>
      <c r="G43" s="245">
        <v>25</v>
      </c>
      <c r="H43" s="169">
        <f t="shared" si="5"/>
        <v>0</v>
      </c>
      <c r="I43" s="245">
        <v>21</v>
      </c>
      <c r="J43" s="172">
        <f t="shared" si="6"/>
        <v>0</v>
      </c>
    </row>
    <row r="44" spans="1:10" x14ac:dyDescent="0.35">
      <c r="A44" s="190" t="s">
        <v>52</v>
      </c>
      <c r="B44" s="191">
        <f>28.2/100*B4</f>
        <v>0</v>
      </c>
      <c r="C44" s="256">
        <v>20</v>
      </c>
      <c r="D44" s="254">
        <f t="shared" si="0"/>
        <v>0</v>
      </c>
      <c r="E44" s="256">
        <v>30</v>
      </c>
      <c r="F44" s="255">
        <f t="shared" si="4"/>
        <v>0</v>
      </c>
      <c r="G44" s="244">
        <v>40</v>
      </c>
      <c r="H44" s="196">
        <f t="shared" si="5"/>
        <v>0</v>
      </c>
      <c r="I44" s="244">
        <v>40</v>
      </c>
      <c r="J44" s="197">
        <f t="shared" si="6"/>
        <v>0</v>
      </c>
    </row>
    <row r="45" spans="1:10" x14ac:dyDescent="0.35">
      <c r="A45" s="185" t="s">
        <v>53</v>
      </c>
      <c r="B45" s="265">
        <f>280/100*B4</f>
        <v>0</v>
      </c>
      <c r="C45" s="257">
        <v>800</v>
      </c>
      <c r="D45" s="234">
        <f>B45/C45</f>
        <v>0</v>
      </c>
      <c r="E45" s="257">
        <v>1000</v>
      </c>
      <c r="F45" s="235">
        <f>B45/E45</f>
        <v>0</v>
      </c>
      <c r="G45" s="245">
        <v>1200</v>
      </c>
      <c r="H45" s="169">
        <f t="shared" si="5"/>
        <v>0</v>
      </c>
      <c r="I45" s="245">
        <v>1200</v>
      </c>
      <c r="J45" s="172">
        <f t="shared" si="6"/>
        <v>0</v>
      </c>
    </row>
    <row r="46" spans="1:10" x14ac:dyDescent="0.35">
      <c r="A46" s="226" t="s">
        <v>54</v>
      </c>
      <c r="B46" s="267">
        <f>445/100*B4</f>
        <v>0</v>
      </c>
      <c r="C46" s="258">
        <v>2000</v>
      </c>
      <c r="D46" s="228">
        <f>B46/C46</f>
        <v>0</v>
      </c>
      <c r="E46" s="258">
        <v>2300</v>
      </c>
      <c r="F46" s="229">
        <f>B46/E46</f>
        <v>0</v>
      </c>
      <c r="G46" s="249">
        <v>2500</v>
      </c>
      <c r="H46" s="170">
        <f t="shared" si="5"/>
        <v>0</v>
      </c>
      <c r="I46" s="249">
        <v>2300</v>
      </c>
      <c r="J46" s="173">
        <f t="shared" si="6"/>
        <v>0</v>
      </c>
    </row>
    <row r="47" spans="1:10" ht="15" thickBot="1" x14ac:dyDescent="0.4">
      <c r="A47" s="236" t="s">
        <v>55</v>
      </c>
      <c r="B47" s="268">
        <f>406/100*B4</f>
        <v>0</v>
      </c>
      <c r="C47" s="259">
        <v>1500</v>
      </c>
      <c r="D47" s="237">
        <f>B47/C47</f>
        <v>0</v>
      </c>
      <c r="E47" s="259">
        <v>1900</v>
      </c>
      <c r="F47" s="238">
        <f>B47/E47</f>
        <v>0</v>
      </c>
      <c r="G47" s="262">
        <v>2300</v>
      </c>
      <c r="H47" s="232">
        <f t="shared" si="5"/>
        <v>0</v>
      </c>
      <c r="I47" s="262">
        <v>2300</v>
      </c>
      <c r="J47" s="233">
        <f t="shared" si="6"/>
        <v>0</v>
      </c>
    </row>
    <row r="48" spans="1:10" x14ac:dyDescent="0.35">
      <c r="A48" s="272" t="s">
        <v>56</v>
      </c>
    </row>
    <row r="49" spans="1:1" x14ac:dyDescent="0.35">
      <c r="A49" t="s">
        <v>57</v>
      </c>
    </row>
    <row r="50" spans="1:1" x14ac:dyDescent="0.35">
      <c r="A50" t="s">
        <v>58</v>
      </c>
    </row>
    <row r="51" spans="1:1" x14ac:dyDescent="0.35">
      <c r="A51" s="274" t="s">
        <v>127</v>
      </c>
    </row>
  </sheetData>
  <sheetProtection algorithmName="SHA-512" hashValue="Xnq9CcoPlguRJNl6pgIpO0O3F8q67ibNcDbXHx1wQXZp1J+qsqB3rp4J/dCJkEw3SBD6hYmIMsU99Dh5+to3SQ==" saltValue="vF+UloNco+f+GASvI0B+gQ==" spinCount="100000" sheet="1" objects="1" scenarios="1"/>
  <mergeCells count="4">
    <mergeCell ref="C2:J2"/>
    <mergeCell ref="A3:B3"/>
    <mergeCell ref="A17:B17"/>
    <mergeCell ref="A33:B3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L30"/>
  <sheetViews>
    <sheetView showGridLines="0" zoomScale="80" zoomScaleNormal="80" workbookViewId="0">
      <selection activeCell="A30" sqref="A30"/>
    </sheetView>
  </sheetViews>
  <sheetFormatPr defaultColWidth="9.1796875" defaultRowHeight="14.5" x14ac:dyDescent="0.35"/>
  <cols>
    <col min="1" max="1" width="20.26953125" customWidth="1"/>
    <col min="2" max="2" width="21.1796875" customWidth="1"/>
    <col min="13" max="13" width="4.26953125" customWidth="1"/>
  </cols>
  <sheetData>
    <row r="1" spans="1:12" ht="45" customHeight="1" x14ac:dyDescent="0.35">
      <c r="A1" s="381" t="s">
        <v>79</v>
      </c>
      <c r="B1" s="382"/>
      <c r="C1" s="287"/>
      <c r="D1" s="390" t="s">
        <v>80</v>
      </c>
      <c r="E1" s="391"/>
      <c r="F1" s="391"/>
      <c r="G1" s="391"/>
      <c r="H1" s="391"/>
      <c r="I1" s="331"/>
      <c r="J1" s="331"/>
      <c r="K1" s="287"/>
      <c r="L1" s="288"/>
    </row>
    <row r="2" spans="1:12" ht="45" customHeight="1" thickBot="1" x14ac:dyDescent="0.4">
      <c r="A2" s="14">
        <v>0</v>
      </c>
      <c r="D2" s="392"/>
      <c r="E2" s="392"/>
      <c r="F2" s="392"/>
      <c r="G2" s="392"/>
      <c r="H2" s="392"/>
      <c r="I2" s="332"/>
      <c r="J2" s="332"/>
      <c r="L2" s="289"/>
    </row>
    <row r="3" spans="1:12" x14ac:dyDescent="0.35">
      <c r="A3" s="290"/>
      <c r="L3" s="289"/>
    </row>
    <row r="4" spans="1:12" ht="15" thickBot="1" x14ac:dyDescent="0.4">
      <c r="A4" s="290"/>
      <c r="L4" s="289"/>
    </row>
    <row r="5" spans="1:12" x14ac:dyDescent="0.35">
      <c r="A5" s="383" t="s">
        <v>81</v>
      </c>
      <c r="B5" s="386" t="s">
        <v>82</v>
      </c>
      <c r="C5" s="379"/>
      <c r="D5" s="379"/>
      <c r="E5" s="379"/>
      <c r="F5" s="379"/>
      <c r="G5" s="379"/>
      <c r="H5" s="379"/>
      <c r="I5" s="379"/>
      <c r="J5" s="379"/>
      <c r="K5" s="379"/>
      <c r="L5" s="380"/>
    </row>
    <row r="6" spans="1:12" x14ac:dyDescent="0.35">
      <c r="A6" s="384"/>
      <c r="B6" s="291"/>
      <c r="C6" s="292" t="s">
        <v>83</v>
      </c>
      <c r="D6" s="292" t="s">
        <v>84</v>
      </c>
      <c r="E6" s="292" t="s">
        <v>85</v>
      </c>
      <c r="F6" s="292" t="s">
        <v>86</v>
      </c>
      <c r="G6" s="292" t="s">
        <v>87</v>
      </c>
      <c r="H6" s="292" t="s">
        <v>88</v>
      </c>
      <c r="I6" s="292" t="s">
        <v>112</v>
      </c>
      <c r="J6" s="292" t="s">
        <v>89</v>
      </c>
      <c r="K6" s="292" t="s">
        <v>90</v>
      </c>
      <c r="L6" s="293" t="s">
        <v>91</v>
      </c>
    </row>
    <row r="7" spans="1:12" x14ac:dyDescent="0.35">
      <c r="A7" s="384"/>
      <c r="B7" s="294" t="s">
        <v>92</v>
      </c>
      <c r="C7" s="295">
        <f>100*A2/13.5*0.9</f>
        <v>0</v>
      </c>
      <c r="D7" s="295">
        <f>100*A2/13.5*0.8</f>
        <v>0</v>
      </c>
      <c r="E7" s="295">
        <f>100*A2/13.5*0.7</f>
        <v>0</v>
      </c>
      <c r="F7" s="295">
        <f>100*A2/13.5*0.6</f>
        <v>0</v>
      </c>
      <c r="G7" s="295">
        <f>100*A2/13.5*0.5</f>
        <v>0</v>
      </c>
      <c r="H7" s="295">
        <f>100*A2/13.5*0.4</f>
        <v>0</v>
      </c>
      <c r="I7" s="295">
        <f>100*A2/13.5*0.3</f>
        <v>0</v>
      </c>
      <c r="J7" s="295">
        <f>100*A2/13.5*0.2</f>
        <v>0</v>
      </c>
      <c r="K7" s="295">
        <f>100*A2/13.5*0.1</f>
        <v>0</v>
      </c>
      <c r="L7" s="296">
        <f>100*A2/13.5*0</f>
        <v>0</v>
      </c>
    </row>
    <row r="8" spans="1:12" x14ac:dyDescent="0.35">
      <c r="A8" s="384"/>
      <c r="B8" s="297" t="s">
        <v>93</v>
      </c>
      <c r="C8" s="298">
        <f>100*A2/28*0.1</f>
        <v>0</v>
      </c>
      <c r="D8" s="298">
        <f>100*A2/28*0.2</f>
        <v>0</v>
      </c>
      <c r="E8" s="298">
        <f>100*A2/28*0.3</f>
        <v>0</v>
      </c>
      <c r="F8" s="298">
        <f>100*A2/28*0.4</f>
        <v>0</v>
      </c>
      <c r="G8" s="298">
        <f>100*A2/28*0.5</f>
        <v>0</v>
      </c>
      <c r="H8" s="298">
        <f>100*A2/28*0.6</f>
        <v>0</v>
      </c>
      <c r="I8" s="298">
        <f>100*A2/28*0.7</f>
        <v>0</v>
      </c>
      <c r="J8" s="298">
        <f>100*A2/28*0.8</f>
        <v>0</v>
      </c>
      <c r="K8" s="298">
        <f>100*A2/28*0.9</f>
        <v>0</v>
      </c>
      <c r="L8" s="299">
        <f>100*A2/28*1</f>
        <v>0</v>
      </c>
    </row>
    <row r="9" spans="1:12" ht="15" thickBot="1" x14ac:dyDescent="0.4">
      <c r="A9" s="385"/>
      <c r="B9" s="300" t="s">
        <v>94</v>
      </c>
      <c r="C9" s="301">
        <f t="shared" ref="C9:L9" si="0">(C7*473/100)+(C8*385/100)</f>
        <v>0</v>
      </c>
      <c r="D9" s="301">
        <f t="shared" si="0"/>
        <v>0</v>
      </c>
      <c r="E9" s="301">
        <f t="shared" si="0"/>
        <v>0</v>
      </c>
      <c r="F9" s="301">
        <f t="shared" si="0"/>
        <v>0</v>
      </c>
      <c r="G9" s="301">
        <f t="shared" si="0"/>
        <v>0</v>
      </c>
      <c r="H9" s="301">
        <f t="shared" si="0"/>
        <v>0</v>
      </c>
      <c r="I9" s="301">
        <f t="shared" si="0"/>
        <v>0</v>
      </c>
      <c r="J9" s="301">
        <f t="shared" si="0"/>
        <v>0</v>
      </c>
      <c r="K9" s="301">
        <f t="shared" si="0"/>
        <v>0</v>
      </c>
      <c r="L9" s="302">
        <f t="shared" si="0"/>
        <v>0</v>
      </c>
    </row>
    <row r="10" spans="1:12" x14ac:dyDescent="0.35">
      <c r="A10" s="290"/>
      <c r="B10" s="303"/>
      <c r="C10" s="304"/>
      <c r="D10" s="304"/>
      <c r="E10" s="304"/>
      <c r="F10" s="304"/>
      <c r="L10" s="289"/>
    </row>
    <row r="11" spans="1:12" ht="15" thickBot="1" x14ac:dyDescent="0.4">
      <c r="A11" s="290"/>
      <c r="L11" s="289"/>
    </row>
    <row r="12" spans="1:12" x14ac:dyDescent="0.35">
      <c r="A12" s="387" t="s">
        <v>95</v>
      </c>
      <c r="B12" s="386" t="s">
        <v>96</v>
      </c>
      <c r="C12" s="379"/>
      <c r="D12" s="379"/>
      <c r="E12" s="379"/>
      <c r="F12" s="379"/>
      <c r="G12" s="379"/>
      <c r="H12" s="380"/>
      <c r="I12" s="334"/>
      <c r="J12" s="334"/>
      <c r="L12" s="289"/>
    </row>
    <row r="13" spans="1:12" x14ac:dyDescent="0.35">
      <c r="A13" s="388"/>
      <c r="B13" s="291"/>
      <c r="C13" s="292" t="s">
        <v>83</v>
      </c>
      <c r="D13" s="292" t="s">
        <v>84</v>
      </c>
      <c r="E13" s="292" t="s">
        <v>85</v>
      </c>
      <c r="F13" s="292" t="s">
        <v>86</v>
      </c>
      <c r="G13" s="292" t="s">
        <v>87</v>
      </c>
      <c r="H13" s="293" t="s">
        <v>88</v>
      </c>
      <c r="I13" s="335"/>
      <c r="J13" s="335"/>
      <c r="L13" s="289"/>
    </row>
    <row r="14" spans="1:12" x14ac:dyDescent="0.35">
      <c r="A14" s="388"/>
      <c r="B14" s="294" t="s">
        <v>92</v>
      </c>
      <c r="C14" s="295">
        <f>100*A2/13.5*0.833</f>
        <v>0</v>
      </c>
      <c r="D14" s="295">
        <f>100*A2/13.5*0.667</f>
        <v>0</v>
      </c>
      <c r="E14" s="295">
        <f>100*A2/13.5*0.5</f>
        <v>0</v>
      </c>
      <c r="F14" s="295">
        <f>100*A2/13.5*0.333</f>
        <v>0</v>
      </c>
      <c r="G14" s="295">
        <f>100*A2/13.5*0.167</f>
        <v>0</v>
      </c>
      <c r="H14" s="296">
        <f>100*A2/13.5*0</f>
        <v>0</v>
      </c>
      <c r="J14" s="340"/>
      <c r="L14" s="289"/>
    </row>
    <row r="15" spans="1:12" x14ac:dyDescent="0.35">
      <c r="A15" s="388"/>
      <c r="B15" s="297" t="s">
        <v>93</v>
      </c>
      <c r="C15" s="298">
        <f>100*A2/28*0.167</f>
        <v>0</v>
      </c>
      <c r="D15" s="298">
        <f>100*A2/28*0.333</f>
        <v>0</v>
      </c>
      <c r="E15" s="298">
        <f>100*A2/28*0.5</f>
        <v>0</v>
      </c>
      <c r="F15" s="298">
        <f>100*A2/28*0.667</f>
        <v>0</v>
      </c>
      <c r="G15" s="298">
        <f>100*A2/28*0.833</f>
        <v>0</v>
      </c>
      <c r="H15" s="299">
        <f>100*A2/28*1</f>
        <v>0</v>
      </c>
      <c r="I15" s="339"/>
      <c r="J15" s="339"/>
      <c r="L15" s="289"/>
    </row>
    <row r="16" spans="1:12" ht="15" thickBot="1" x14ac:dyDescent="0.4">
      <c r="A16" s="389"/>
      <c r="B16" s="305" t="s">
        <v>94</v>
      </c>
      <c r="C16" s="301">
        <f t="shared" ref="C16:H16" si="1">(C14*473/100)+(C15*385/100)</f>
        <v>0</v>
      </c>
      <c r="D16" s="301">
        <f t="shared" si="1"/>
        <v>0</v>
      </c>
      <c r="E16" s="301">
        <f t="shared" si="1"/>
        <v>0</v>
      </c>
      <c r="F16" s="301">
        <f t="shared" si="1"/>
        <v>0</v>
      </c>
      <c r="G16" s="301">
        <f t="shared" si="1"/>
        <v>0</v>
      </c>
      <c r="H16" s="302">
        <f t="shared" si="1"/>
        <v>0</v>
      </c>
      <c r="I16" s="338"/>
      <c r="J16" s="338"/>
      <c r="L16" s="289"/>
    </row>
    <row r="17" spans="1:12" x14ac:dyDescent="0.35">
      <c r="A17" s="290"/>
      <c r="B17" s="303"/>
      <c r="C17" s="306"/>
      <c r="D17" s="306"/>
      <c r="E17" s="306"/>
      <c r="F17" s="306"/>
      <c r="G17" s="306"/>
      <c r="H17" s="306"/>
      <c r="I17" s="306"/>
      <c r="J17" s="306"/>
      <c r="L17" s="289"/>
    </row>
    <row r="18" spans="1:12" ht="15" thickBot="1" x14ac:dyDescent="0.4">
      <c r="A18" s="290"/>
      <c r="L18" s="289"/>
    </row>
    <row r="19" spans="1:12" x14ac:dyDescent="0.35">
      <c r="A19" s="376" t="s">
        <v>97</v>
      </c>
      <c r="B19" s="379" t="s">
        <v>98</v>
      </c>
      <c r="C19" s="379"/>
      <c r="D19" s="379"/>
      <c r="E19" s="379"/>
      <c r="F19" s="380"/>
      <c r="L19" s="289"/>
    </row>
    <row r="20" spans="1:12" x14ac:dyDescent="0.35">
      <c r="A20" s="377"/>
      <c r="B20" s="307"/>
      <c r="C20" s="292" t="s">
        <v>83</v>
      </c>
      <c r="D20" s="292" t="s">
        <v>84</v>
      </c>
      <c r="E20" s="292" t="s">
        <v>85</v>
      </c>
      <c r="F20" s="293" t="s">
        <v>86</v>
      </c>
      <c r="L20" s="289"/>
    </row>
    <row r="21" spans="1:12" x14ac:dyDescent="0.35">
      <c r="A21" s="377"/>
      <c r="B21" s="308" t="s">
        <v>92</v>
      </c>
      <c r="C21" s="295">
        <f>100*A2/13.5*0.75</f>
        <v>0</v>
      </c>
      <c r="D21" s="295">
        <f>100*A2/13.5*0.5</f>
        <v>0</v>
      </c>
      <c r="E21" s="295">
        <f>100*A2/13.5*0.25</f>
        <v>0</v>
      </c>
      <c r="F21" s="296">
        <f>100/13.5*A2*0</f>
        <v>0</v>
      </c>
      <c r="L21" s="289"/>
    </row>
    <row r="22" spans="1:12" x14ac:dyDescent="0.35">
      <c r="A22" s="377"/>
      <c r="B22" s="309" t="s">
        <v>93</v>
      </c>
      <c r="C22" s="298">
        <f>100*A2/28*0.25</f>
        <v>0</v>
      </c>
      <c r="D22" s="298">
        <f>100*A2/28*0.5</f>
        <v>0</v>
      </c>
      <c r="E22" s="298">
        <f>100*A2/28*0.75</f>
        <v>0</v>
      </c>
      <c r="F22" s="299">
        <f>100*A2/28*1</f>
        <v>0</v>
      </c>
      <c r="L22" s="289"/>
    </row>
    <row r="23" spans="1:12" ht="15" thickBot="1" x14ac:dyDescent="0.4">
      <c r="A23" s="378"/>
      <c r="B23" s="305" t="s">
        <v>94</v>
      </c>
      <c r="C23" s="301">
        <f>(C21*473/100)+(C22*385/100)</f>
        <v>0</v>
      </c>
      <c r="D23" s="301">
        <f>(D21*473/100)+(D22*385/100)</f>
        <v>0</v>
      </c>
      <c r="E23" s="301">
        <f>(E21*473/100)+(E22*385/100)</f>
        <v>0</v>
      </c>
      <c r="F23" s="302">
        <f>(F21*473/100)+(F22*385/100)</f>
        <v>0</v>
      </c>
      <c r="L23" s="289"/>
    </row>
    <row r="24" spans="1:12" x14ac:dyDescent="0.35">
      <c r="A24" s="290"/>
      <c r="L24" s="289"/>
    </row>
    <row r="25" spans="1:12" ht="15" thickBot="1" x14ac:dyDescent="0.4">
      <c r="A25" s="310"/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8"/>
    </row>
    <row r="26" spans="1:12" x14ac:dyDescent="0.35">
      <c r="A26" t="s">
        <v>129</v>
      </c>
    </row>
    <row r="27" spans="1:12" x14ac:dyDescent="0.35">
      <c r="A27" t="s">
        <v>99</v>
      </c>
    </row>
    <row r="29" spans="1:12" x14ac:dyDescent="0.35">
      <c r="A29" s="343" t="s">
        <v>130</v>
      </c>
    </row>
    <row r="30" spans="1:12" x14ac:dyDescent="0.35">
      <c r="A30" s="311" t="s">
        <v>124</v>
      </c>
    </row>
  </sheetData>
  <sheetProtection algorithmName="SHA-512" hashValue="sl/bowBU9MVsIfttZoheN/LjkIPyKM8EdvY9nqfCPKmpamzxVKMPyHzZDmnHJEryf7Anoycj0iP8EGoXWSl7iA==" saltValue="AqE+9ul7iR1Xpehi5FLcsA==" spinCount="100000" sheet="1" objects="1" scenarios="1"/>
  <mergeCells count="8">
    <mergeCell ref="A19:A23"/>
    <mergeCell ref="B19:F19"/>
    <mergeCell ref="A1:B1"/>
    <mergeCell ref="A5:A9"/>
    <mergeCell ref="B5:L5"/>
    <mergeCell ref="A12:A16"/>
    <mergeCell ref="B12:H12"/>
    <mergeCell ref="D1:H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3E435-4D14-4037-B7A0-E8FB163FD704}">
  <sheetPr>
    <tabColor theme="4" tint="0.39997558519241921"/>
  </sheetPr>
  <dimension ref="A1:N32"/>
  <sheetViews>
    <sheetView showGridLines="0" zoomScale="80" zoomScaleNormal="80" workbookViewId="0">
      <selection activeCell="A3" sqref="A3"/>
    </sheetView>
  </sheetViews>
  <sheetFormatPr defaultColWidth="9.1796875" defaultRowHeight="14.5" x14ac:dyDescent="0.35"/>
  <cols>
    <col min="1" max="1" width="20.26953125" customWidth="1"/>
    <col min="2" max="2" width="27.7265625" customWidth="1"/>
    <col min="12" max="12" width="9.6328125" customWidth="1"/>
    <col min="13" max="13" width="4.26953125" customWidth="1"/>
  </cols>
  <sheetData>
    <row r="1" spans="1:14" ht="45" customHeight="1" x14ac:dyDescent="0.35">
      <c r="A1" s="381" t="s">
        <v>79</v>
      </c>
      <c r="B1" s="382"/>
      <c r="C1" s="287"/>
      <c r="D1" s="390" t="s">
        <v>100</v>
      </c>
      <c r="E1" s="390"/>
      <c r="F1" s="390"/>
      <c r="G1" s="390"/>
      <c r="H1" s="390"/>
      <c r="I1" s="330"/>
      <c r="J1" s="312"/>
      <c r="K1" s="287"/>
      <c r="L1" s="288"/>
    </row>
    <row r="2" spans="1:14" ht="45" customHeight="1" thickBot="1" x14ac:dyDescent="0.4">
      <c r="A2" s="14">
        <v>0</v>
      </c>
      <c r="D2" s="393"/>
      <c r="E2" s="393"/>
      <c r="F2" s="393"/>
      <c r="G2" s="393"/>
      <c r="H2" s="393"/>
      <c r="I2" s="333"/>
      <c r="J2" s="313"/>
      <c r="L2" s="289"/>
    </row>
    <row r="3" spans="1:14" x14ac:dyDescent="0.35">
      <c r="A3" s="290"/>
      <c r="L3" s="289"/>
    </row>
    <row r="4" spans="1:14" ht="15" thickBot="1" x14ac:dyDescent="0.4">
      <c r="A4" s="290"/>
      <c r="L4" s="289"/>
    </row>
    <row r="5" spans="1:14" x14ac:dyDescent="0.35">
      <c r="A5" s="383" t="s">
        <v>81</v>
      </c>
      <c r="B5" s="386" t="s">
        <v>82</v>
      </c>
      <c r="C5" s="379"/>
      <c r="D5" s="379"/>
      <c r="E5" s="379"/>
      <c r="F5" s="379"/>
      <c r="G5" s="379"/>
      <c r="H5" s="379"/>
      <c r="I5" s="379"/>
      <c r="J5" s="379"/>
      <c r="K5" s="379"/>
      <c r="L5" s="380"/>
    </row>
    <row r="6" spans="1:14" x14ac:dyDescent="0.35">
      <c r="A6" s="384"/>
      <c r="B6" s="291"/>
      <c r="C6" s="292" t="s">
        <v>83</v>
      </c>
      <c r="D6" s="292" t="s">
        <v>84</v>
      </c>
      <c r="E6" s="292" t="s">
        <v>85</v>
      </c>
      <c r="F6" s="292" t="s">
        <v>86</v>
      </c>
      <c r="G6" s="292" t="s">
        <v>87</v>
      </c>
      <c r="H6" s="292" t="s">
        <v>88</v>
      </c>
      <c r="I6" s="292" t="s">
        <v>112</v>
      </c>
      <c r="J6" s="292" t="s">
        <v>89</v>
      </c>
      <c r="K6" s="292" t="s">
        <v>90</v>
      </c>
      <c r="L6" s="293" t="s">
        <v>91</v>
      </c>
    </row>
    <row r="7" spans="1:14" x14ac:dyDescent="0.35">
      <c r="A7" s="384"/>
      <c r="B7" s="294" t="s">
        <v>92</v>
      </c>
      <c r="C7" s="295">
        <f>100*A2/13.5*0.9</f>
        <v>0</v>
      </c>
      <c r="D7" s="295">
        <f>100*A2/13.5*0.8</f>
        <v>0</v>
      </c>
      <c r="E7" s="295">
        <f>100*A2/13.5*0.7</f>
        <v>0</v>
      </c>
      <c r="F7" s="295">
        <f>100*A2/13.5*0.6</f>
        <v>0</v>
      </c>
      <c r="G7" s="295">
        <f>100*A2/13.5*0.5</f>
        <v>0</v>
      </c>
      <c r="H7" s="295">
        <f>100*A2/13.5*0.4</f>
        <v>0</v>
      </c>
      <c r="I7" s="295">
        <f>100*A2/13.5*0.3</f>
        <v>0</v>
      </c>
      <c r="J7" s="295">
        <f>100*A2/13.5*0.2</f>
        <v>0</v>
      </c>
      <c r="K7" s="295">
        <f>100*A2/13.5*0.1</f>
        <v>0</v>
      </c>
      <c r="L7" s="296">
        <f>100*A2/13.5*0</f>
        <v>0</v>
      </c>
    </row>
    <row r="8" spans="1:14" x14ac:dyDescent="0.35">
      <c r="A8" s="384"/>
      <c r="B8" s="297" t="s">
        <v>101</v>
      </c>
      <c r="C8" s="298">
        <f>100*A2/30*0.1</f>
        <v>0</v>
      </c>
      <c r="D8" s="298">
        <f>100*A2/30*0.2</f>
        <v>0</v>
      </c>
      <c r="E8" s="298">
        <f>100*A2/30*0.3</f>
        <v>0</v>
      </c>
      <c r="F8" s="298">
        <f>100*A2/30*0.4</f>
        <v>0</v>
      </c>
      <c r="G8" s="298">
        <f>100*A2/30*0.5</f>
        <v>0</v>
      </c>
      <c r="H8" s="298">
        <f>100*A2/30*0.6</f>
        <v>0</v>
      </c>
      <c r="I8" s="298">
        <f>100*A2/30*0.7</f>
        <v>0</v>
      </c>
      <c r="J8" s="298">
        <f>100*A2/30*0.8</f>
        <v>0</v>
      </c>
      <c r="K8" s="298">
        <f>100*A2/30*0.9</f>
        <v>0</v>
      </c>
      <c r="L8" s="299">
        <f>100*A2/30*1</f>
        <v>0</v>
      </c>
    </row>
    <row r="9" spans="1:14" x14ac:dyDescent="0.35">
      <c r="A9" s="384"/>
      <c r="B9" s="314" t="s">
        <v>102</v>
      </c>
      <c r="C9" s="315">
        <f t="shared" ref="C9:L9" si="0">(C7*473/100)+(C8*396/100)</f>
        <v>0</v>
      </c>
      <c r="D9" s="315">
        <f t="shared" si="0"/>
        <v>0</v>
      </c>
      <c r="E9" s="315">
        <f t="shared" si="0"/>
        <v>0</v>
      </c>
      <c r="F9" s="315">
        <f t="shared" si="0"/>
        <v>0</v>
      </c>
      <c r="G9" s="315">
        <f t="shared" si="0"/>
        <v>0</v>
      </c>
      <c r="H9" s="315">
        <f t="shared" si="0"/>
        <v>0</v>
      </c>
      <c r="I9" s="315">
        <f t="shared" si="0"/>
        <v>0</v>
      </c>
      <c r="J9" s="315">
        <f t="shared" si="0"/>
        <v>0</v>
      </c>
      <c r="K9" s="315">
        <f t="shared" si="0"/>
        <v>0</v>
      </c>
      <c r="L9" s="316">
        <f t="shared" si="0"/>
        <v>0</v>
      </c>
    </row>
    <row r="10" spans="1:14" ht="15" thickBot="1" x14ac:dyDescent="0.4">
      <c r="A10" s="385"/>
      <c r="B10" s="300" t="s">
        <v>103</v>
      </c>
      <c r="C10" s="317">
        <f t="shared" ref="C10:L10" si="1">C8*46/100</f>
        <v>0</v>
      </c>
      <c r="D10" s="317">
        <f t="shared" si="1"/>
        <v>0</v>
      </c>
      <c r="E10" s="317">
        <f t="shared" si="1"/>
        <v>0</v>
      </c>
      <c r="F10" s="317">
        <f t="shared" si="1"/>
        <v>0</v>
      </c>
      <c r="G10" s="317">
        <f t="shared" si="1"/>
        <v>0</v>
      </c>
      <c r="H10" s="317">
        <f t="shared" si="1"/>
        <v>0</v>
      </c>
      <c r="I10" s="317">
        <f t="shared" si="1"/>
        <v>0</v>
      </c>
      <c r="J10" s="317">
        <f t="shared" si="1"/>
        <v>0</v>
      </c>
      <c r="K10" s="317">
        <f t="shared" si="1"/>
        <v>0</v>
      </c>
      <c r="L10" s="318">
        <f t="shared" si="1"/>
        <v>0</v>
      </c>
      <c r="N10" s="319"/>
    </row>
    <row r="11" spans="1:14" x14ac:dyDescent="0.35">
      <c r="A11" s="290"/>
      <c r="B11" s="303"/>
      <c r="C11" s="304"/>
      <c r="D11" s="304"/>
      <c r="E11" s="304"/>
      <c r="F11" s="304"/>
      <c r="L11" s="289"/>
      <c r="N11" s="319"/>
    </row>
    <row r="12" spans="1:14" ht="15" thickBot="1" x14ac:dyDescent="0.4">
      <c r="A12" s="290"/>
      <c r="L12" s="289"/>
    </row>
    <row r="13" spans="1:14" ht="15" customHeight="1" x14ac:dyDescent="0.35">
      <c r="A13" s="387" t="s">
        <v>95</v>
      </c>
      <c r="B13" s="386" t="s">
        <v>96</v>
      </c>
      <c r="C13" s="379"/>
      <c r="D13" s="379"/>
      <c r="E13" s="379"/>
      <c r="F13" s="379"/>
      <c r="G13" s="379"/>
      <c r="H13" s="380"/>
      <c r="I13" s="334"/>
      <c r="L13" s="289"/>
    </row>
    <row r="14" spans="1:14" x14ac:dyDescent="0.35">
      <c r="A14" s="388"/>
      <c r="B14" s="291"/>
      <c r="C14" s="292" t="s">
        <v>83</v>
      </c>
      <c r="D14" s="292" t="s">
        <v>84</v>
      </c>
      <c r="E14" s="292" t="s">
        <v>85</v>
      </c>
      <c r="F14" s="292" t="s">
        <v>86</v>
      </c>
      <c r="G14" s="292" t="s">
        <v>87</v>
      </c>
      <c r="H14" s="293" t="s">
        <v>88</v>
      </c>
      <c r="I14" s="335"/>
      <c r="L14" s="289"/>
    </row>
    <row r="15" spans="1:14" x14ac:dyDescent="0.35">
      <c r="A15" s="388"/>
      <c r="B15" s="294" t="s">
        <v>92</v>
      </c>
      <c r="C15" s="295">
        <f>100*A2/13.5*0.833</f>
        <v>0</v>
      </c>
      <c r="D15" s="295">
        <f>100*A2/13.5*0.667</f>
        <v>0</v>
      </c>
      <c r="E15" s="295">
        <f>100*A2/13.5*0.5</f>
        <v>0</v>
      </c>
      <c r="F15" s="295">
        <f>100*A2/13.5*0.333</f>
        <v>0</v>
      </c>
      <c r="G15" s="295">
        <f>100*A2/13.5*0.167</f>
        <v>0</v>
      </c>
      <c r="H15" s="296">
        <f>100*A2/13.5*0</f>
        <v>0</v>
      </c>
      <c r="I15" s="340"/>
      <c r="L15" s="289"/>
    </row>
    <row r="16" spans="1:14" x14ac:dyDescent="0.35">
      <c r="A16" s="388"/>
      <c r="B16" s="297" t="s">
        <v>101</v>
      </c>
      <c r="C16" s="298">
        <f>100*A2/30*0.167</f>
        <v>0</v>
      </c>
      <c r="D16" s="298">
        <f>100*A2/30*0.333</f>
        <v>0</v>
      </c>
      <c r="E16" s="298">
        <f>100*A2/30*0.5</f>
        <v>0</v>
      </c>
      <c r="F16" s="298">
        <f>100*A2/30*0.667</f>
        <v>0</v>
      </c>
      <c r="G16" s="298">
        <f>100*A2/30*0.833</f>
        <v>0</v>
      </c>
      <c r="H16" s="299">
        <f>100*A2/30*1</f>
        <v>0</v>
      </c>
      <c r="I16" s="339"/>
      <c r="L16" s="289"/>
    </row>
    <row r="17" spans="1:12" x14ac:dyDescent="0.35">
      <c r="A17" s="388"/>
      <c r="B17" s="320" t="s">
        <v>102</v>
      </c>
      <c r="C17" s="321">
        <f t="shared" ref="C17:H17" si="2">(C15*473/100)+(C16*396/100)</f>
        <v>0</v>
      </c>
      <c r="D17" s="321">
        <f t="shared" si="2"/>
        <v>0</v>
      </c>
      <c r="E17" s="321">
        <f t="shared" si="2"/>
        <v>0</v>
      </c>
      <c r="F17" s="321">
        <f t="shared" si="2"/>
        <v>0</v>
      </c>
      <c r="G17" s="321">
        <f t="shared" si="2"/>
        <v>0</v>
      </c>
      <c r="H17" s="322">
        <f t="shared" si="2"/>
        <v>0</v>
      </c>
      <c r="I17" s="338"/>
      <c r="L17" s="289"/>
    </row>
    <row r="18" spans="1:12" ht="15" thickBot="1" x14ac:dyDescent="0.4">
      <c r="A18" s="389"/>
      <c r="B18" s="300" t="s">
        <v>103</v>
      </c>
      <c r="C18" s="317">
        <f t="shared" ref="C18:H18" si="3">C16*46/100</f>
        <v>0</v>
      </c>
      <c r="D18" s="317">
        <f t="shared" si="3"/>
        <v>0</v>
      </c>
      <c r="E18" s="317">
        <f t="shared" si="3"/>
        <v>0</v>
      </c>
      <c r="F18" s="317">
        <f t="shared" si="3"/>
        <v>0</v>
      </c>
      <c r="G18" s="317">
        <f t="shared" si="3"/>
        <v>0</v>
      </c>
      <c r="H18" s="318">
        <f t="shared" si="3"/>
        <v>0</v>
      </c>
      <c r="I18" s="341"/>
      <c r="L18" s="289"/>
    </row>
    <row r="19" spans="1:12" x14ac:dyDescent="0.35">
      <c r="A19" s="290"/>
      <c r="B19" s="303"/>
      <c r="C19" s="306"/>
      <c r="D19" s="306"/>
      <c r="E19" s="306"/>
      <c r="F19" s="306"/>
      <c r="G19" s="306"/>
      <c r="H19" s="306"/>
      <c r="I19" s="306"/>
      <c r="L19" s="289"/>
    </row>
    <row r="20" spans="1:12" ht="15" thickBot="1" x14ac:dyDescent="0.4">
      <c r="A20" s="290"/>
      <c r="L20" s="289"/>
    </row>
    <row r="21" spans="1:12" ht="15" customHeight="1" x14ac:dyDescent="0.35">
      <c r="A21" s="376" t="s">
        <v>97</v>
      </c>
      <c r="B21" s="379" t="s">
        <v>98</v>
      </c>
      <c r="C21" s="379"/>
      <c r="D21" s="379"/>
      <c r="E21" s="379"/>
      <c r="F21" s="380"/>
      <c r="L21" s="289"/>
    </row>
    <row r="22" spans="1:12" x14ac:dyDescent="0.35">
      <c r="A22" s="377"/>
      <c r="B22" s="307"/>
      <c r="C22" s="292" t="s">
        <v>83</v>
      </c>
      <c r="D22" s="292" t="s">
        <v>84</v>
      </c>
      <c r="E22" s="292" t="s">
        <v>85</v>
      </c>
      <c r="F22" s="293" t="s">
        <v>86</v>
      </c>
      <c r="L22" s="289"/>
    </row>
    <row r="23" spans="1:12" x14ac:dyDescent="0.35">
      <c r="A23" s="377"/>
      <c r="B23" s="308" t="s">
        <v>92</v>
      </c>
      <c r="C23" s="295">
        <f>100*A2/13.5*0.75</f>
        <v>0</v>
      </c>
      <c r="D23" s="295">
        <f>100*A2/13.5*0.5</f>
        <v>0</v>
      </c>
      <c r="E23" s="295">
        <f>100*A2/13.5*0.25</f>
        <v>0</v>
      </c>
      <c r="F23" s="296">
        <f>100/13.5*A2*0</f>
        <v>0</v>
      </c>
      <c r="L23" s="289"/>
    </row>
    <row r="24" spans="1:12" x14ac:dyDescent="0.35">
      <c r="A24" s="377"/>
      <c r="B24" s="297" t="s">
        <v>101</v>
      </c>
      <c r="C24" s="298">
        <f>100*A2/30*0.25</f>
        <v>0</v>
      </c>
      <c r="D24" s="298">
        <f>100*A2/30*0.5</f>
        <v>0</v>
      </c>
      <c r="E24" s="298">
        <f>100*A2/30*0.75</f>
        <v>0</v>
      </c>
      <c r="F24" s="299">
        <f>100*A2/30*1</f>
        <v>0</v>
      </c>
      <c r="L24" s="289"/>
    </row>
    <row r="25" spans="1:12" x14ac:dyDescent="0.35">
      <c r="A25" s="377"/>
      <c r="B25" s="320" t="s">
        <v>102</v>
      </c>
      <c r="C25" s="321">
        <f>(C23*473/100)+(C24*396/100)</f>
        <v>0</v>
      </c>
      <c r="D25" s="321">
        <f>(D23*473/100)+(D24*396/100)</f>
        <v>0</v>
      </c>
      <c r="E25" s="321">
        <f>(E23*473/100)+(E24*396/100)</f>
        <v>0</v>
      </c>
      <c r="F25" s="322">
        <f>(F23*473/100)+(F24*396/100)</f>
        <v>0</v>
      </c>
      <c r="L25" s="289"/>
    </row>
    <row r="26" spans="1:12" ht="15" thickBot="1" x14ac:dyDescent="0.4">
      <c r="A26" s="378"/>
      <c r="B26" s="300" t="s">
        <v>103</v>
      </c>
      <c r="C26" s="317">
        <f>C24*46/100</f>
        <v>0</v>
      </c>
      <c r="D26" s="317">
        <f>D24*46/100</f>
        <v>0</v>
      </c>
      <c r="E26" s="317">
        <f>E24*46/100</f>
        <v>0</v>
      </c>
      <c r="F26" s="317">
        <f>F24*46/100</f>
        <v>0</v>
      </c>
      <c r="L26" s="289"/>
    </row>
    <row r="27" spans="1:12" x14ac:dyDescent="0.35">
      <c r="A27" s="290"/>
      <c r="L27" s="289"/>
    </row>
    <row r="28" spans="1:12" ht="15" thickBot="1" x14ac:dyDescent="0.4">
      <c r="A28" s="310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8"/>
    </row>
    <row r="29" spans="1:12" x14ac:dyDescent="0.35">
      <c r="A29" t="s">
        <v>104</v>
      </c>
    </row>
    <row r="31" spans="1:12" x14ac:dyDescent="0.35">
      <c r="A31" s="343" t="s">
        <v>131</v>
      </c>
    </row>
    <row r="32" spans="1:12" x14ac:dyDescent="0.35">
      <c r="A32" s="311" t="s">
        <v>124</v>
      </c>
    </row>
  </sheetData>
  <sheetProtection algorithmName="SHA-512" hashValue="waNcQv0Zb4gabF+LbT25w9aXeZm7P/eXnPg6mQMAJ5xlXvj/QmnavD1nBcTBUbQaQ58397SK+5AHi45vkzcWAg==" saltValue="wT+cGyYWUo01MPSN+CdMrQ==" spinCount="100000" sheet="1" objects="1" scenarios="1"/>
  <mergeCells count="8">
    <mergeCell ref="B21:F21"/>
    <mergeCell ref="A21:A26"/>
    <mergeCell ref="A13:A18"/>
    <mergeCell ref="A1:B1"/>
    <mergeCell ref="D1:H2"/>
    <mergeCell ref="A5:A10"/>
    <mergeCell ref="B5:L5"/>
    <mergeCell ref="B13:H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DE747-1119-41ED-B5D7-C382E6539FAA}">
  <sheetPr>
    <tabColor theme="4" tint="0.39997558519241921"/>
  </sheetPr>
  <dimension ref="A1:N24"/>
  <sheetViews>
    <sheetView showGridLines="0" zoomScale="80" zoomScaleNormal="80" workbookViewId="0">
      <selection activeCell="A3" sqref="A3"/>
    </sheetView>
  </sheetViews>
  <sheetFormatPr defaultColWidth="9.1796875" defaultRowHeight="14.5" x14ac:dyDescent="0.35"/>
  <cols>
    <col min="1" max="1" width="20.26953125" customWidth="1"/>
    <col min="2" max="2" width="27.7265625" customWidth="1"/>
    <col min="13" max="13" width="4.26953125" customWidth="1"/>
  </cols>
  <sheetData>
    <row r="1" spans="1:14" ht="45" customHeight="1" x14ac:dyDescent="0.35">
      <c r="A1" s="381" t="s">
        <v>79</v>
      </c>
      <c r="B1" s="382"/>
      <c r="C1" s="287"/>
      <c r="D1" s="390" t="s">
        <v>105</v>
      </c>
      <c r="E1" s="390"/>
      <c r="F1" s="390"/>
      <c r="G1" s="390"/>
      <c r="H1" s="390"/>
      <c r="I1" s="390"/>
      <c r="J1" s="390"/>
      <c r="K1" s="287"/>
      <c r="L1" s="288"/>
    </row>
    <row r="2" spans="1:14" ht="45" customHeight="1" thickBot="1" x14ac:dyDescent="0.4">
      <c r="A2" s="14">
        <v>0</v>
      </c>
      <c r="D2" s="393"/>
      <c r="E2" s="393"/>
      <c r="F2" s="393"/>
      <c r="G2" s="393"/>
      <c r="H2" s="393"/>
      <c r="I2" s="393"/>
      <c r="J2" s="393"/>
      <c r="L2" s="289"/>
    </row>
    <row r="3" spans="1:14" x14ac:dyDescent="0.35">
      <c r="A3" s="290"/>
      <c r="L3" s="289"/>
    </row>
    <row r="4" spans="1:14" ht="15" thickBot="1" x14ac:dyDescent="0.4">
      <c r="A4" s="290"/>
      <c r="L4" s="289"/>
    </row>
    <row r="5" spans="1:14" x14ac:dyDescent="0.35">
      <c r="A5" s="383" t="s">
        <v>81</v>
      </c>
      <c r="B5" s="386" t="s">
        <v>82</v>
      </c>
      <c r="C5" s="379"/>
      <c r="D5" s="379"/>
      <c r="E5" s="379"/>
      <c r="F5" s="379"/>
      <c r="G5" s="379"/>
      <c r="H5" s="379"/>
      <c r="I5" s="379"/>
      <c r="J5" s="379"/>
      <c r="K5" s="379"/>
      <c r="L5" s="380"/>
    </row>
    <row r="6" spans="1:14" x14ac:dyDescent="0.35">
      <c r="A6" s="384"/>
      <c r="B6" s="291"/>
      <c r="C6" s="292" t="s">
        <v>83</v>
      </c>
      <c r="D6" s="292" t="s">
        <v>84</v>
      </c>
      <c r="E6" s="292" t="s">
        <v>85</v>
      </c>
      <c r="F6" s="292" t="s">
        <v>86</v>
      </c>
      <c r="G6" s="292" t="s">
        <v>87</v>
      </c>
      <c r="H6" s="292" t="s">
        <v>88</v>
      </c>
      <c r="I6" s="292" t="s">
        <v>112</v>
      </c>
      <c r="J6" s="292" t="s">
        <v>89</v>
      </c>
      <c r="K6" s="292" t="s">
        <v>90</v>
      </c>
      <c r="L6" s="293" t="s">
        <v>91</v>
      </c>
    </row>
    <row r="7" spans="1:14" x14ac:dyDescent="0.35">
      <c r="A7" s="384"/>
      <c r="B7" s="294" t="s">
        <v>92</v>
      </c>
      <c r="C7" s="295">
        <f>100*A2/13.5*0.9</f>
        <v>0</v>
      </c>
      <c r="D7" s="295">
        <f>100*A2/13.5*0.8</f>
        <v>0</v>
      </c>
      <c r="E7" s="295">
        <f>100*A2/13.5*0.7</f>
        <v>0</v>
      </c>
      <c r="F7" s="295">
        <f>100*A2/13.5*0.6</f>
        <v>0</v>
      </c>
      <c r="G7" s="295">
        <f>100*A2/13.5*0.5</f>
        <v>0</v>
      </c>
      <c r="H7" s="295">
        <f>100*A2/13.5*0.4</f>
        <v>0</v>
      </c>
      <c r="I7" s="295">
        <f>100*A2/13.5*0.3</f>
        <v>0</v>
      </c>
      <c r="J7" s="295">
        <f>100*A2/13.5*0.2</f>
        <v>0</v>
      </c>
      <c r="K7" s="295">
        <f>100*A2/13.5*0.1</f>
        <v>0</v>
      </c>
      <c r="L7" s="296">
        <f>100*A2/13.5*0</f>
        <v>0</v>
      </c>
    </row>
    <row r="8" spans="1:14" x14ac:dyDescent="0.35">
      <c r="A8" s="384"/>
      <c r="B8" s="297" t="s">
        <v>106</v>
      </c>
      <c r="C8" s="298">
        <f>250*A2/10*0.1</f>
        <v>0</v>
      </c>
      <c r="D8" s="298">
        <f>250*A2/10*0.2</f>
        <v>0</v>
      </c>
      <c r="E8" s="298">
        <f>250*A2/10*0.3</f>
        <v>0</v>
      </c>
      <c r="F8" s="298">
        <f>250*A2/10*0.4</f>
        <v>0</v>
      </c>
      <c r="G8" s="298">
        <f>250*A2/10*0.5</f>
        <v>0</v>
      </c>
      <c r="H8" s="298">
        <f>250*A2/10*0.6</f>
        <v>0</v>
      </c>
      <c r="I8" s="298">
        <f>250*A2/10*0.7</f>
        <v>0</v>
      </c>
      <c r="J8" s="298">
        <f>250*A2/10*0.8</f>
        <v>0</v>
      </c>
      <c r="K8" s="298">
        <f>250*A2/10*0.9</f>
        <v>0</v>
      </c>
      <c r="L8" s="299">
        <f>250*A2/10*1</f>
        <v>0</v>
      </c>
    </row>
    <row r="9" spans="1:14" x14ac:dyDescent="0.35">
      <c r="A9" s="384"/>
      <c r="B9" s="314" t="s">
        <v>102</v>
      </c>
      <c r="C9" s="315">
        <f t="shared" ref="C9:L9" si="0">(C7*473/100)+(C8*110/250)</f>
        <v>0</v>
      </c>
      <c r="D9" s="315">
        <f t="shared" si="0"/>
        <v>0</v>
      </c>
      <c r="E9" s="315">
        <f t="shared" si="0"/>
        <v>0</v>
      </c>
      <c r="F9" s="315">
        <f t="shared" si="0"/>
        <v>0</v>
      </c>
      <c r="G9" s="315">
        <f t="shared" si="0"/>
        <v>0</v>
      </c>
      <c r="H9" s="315">
        <f t="shared" si="0"/>
        <v>0</v>
      </c>
      <c r="I9" s="315">
        <f t="shared" si="0"/>
        <v>0</v>
      </c>
      <c r="J9" s="315">
        <f t="shared" si="0"/>
        <v>0</v>
      </c>
      <c r="K9" s="315">
        <f t="shared" si="0"/>
        <v>0</v>
      </c>
      <c r="L9" s="316">
        <f t="shared" si="0"/>
        <v>0</v>
      </c>
    </row>
    <row r="10" spans="1:14" ht="15" thickBot="1" x14ac:dyDescent="0.4">
      <c r="A10" s="385"/>
      <c r="B10" s="300" t="s">
        <v>103</v>
      </c>
      <c r="C10" s="317">
        <f t="shared" ref="C10:L10" si="1">C8*18/250</f>
        <v>0</v>
      </c>
      <c r="D10" s="317">
        <f t="shared" si="1"/>
        <v>0</v>
      </c>
      <c r="E10" s="317">
        <f t="shared" si="1"/>
        <v>0</v>
      </c>
      <c r="F10" s="317">
        <f t="shared" si="1"/>
        <v>0</v>
      </c>
      <c r="G10" s="317">
        <f t="shared" si="1"/>
        <v>0</v>
      </c>
      <c r="H10" s="317">
        <f t="shared" si="1"/>
        <v>0</v>
      </c>
      <c r="I10" s="317">
        <f t="shared" si="1"/>
        <v>0</v>
      </c>
      <c r="J10" s="317">
        <f t="shared" si="1"/>
        <v>0</v>
      </c>
      <c r="K10" s="317">
        <f t="shared" si="1"/>
        <v>0</v>
      </c>
      <c r="L10" s="318">
        <f t="shared" si="1"/>
        <v>0</v>
      </c>
      <c r="N10" s="319"/>
    </row>
    <row r="11" spans="1:14" x14ac:dyDescent="0.35">
      <c r="A11" s="290"/>
      <c r="B11" s="303"/>
      <c r="C11" s="304"/>
      <c r="D11" s="304"/>
      <c r="E11" s="304"/>
      <c r="F11" s="304"/>
      <c r="L11" s="289"/>
      <c r="N11" s="319"/>
    </row>
    <row r="12" spans="1:14" ht="15" thickBot="1" x14ac:dyDescent="0.4">
      <c r="A12" s="290"/>
      <c r="L12" s="289"/>
    </row>
    <row r="13" spans="1:14" ht="15" customHeight="1" x14ac:dyDescent="0.35">
      <c r="A13" s="387" t="s">
        <v>107</v>
      </c>
      <c r="B13" s="386" t="s">
        <v>108</v>
      </c>
      <c r="C13" s="379"/>
      <c r="D13" s="379"/>
      <c r="E13" s="379"/>
      <c r="F13" s="379"/>
      <c r="G13" s="380"/>
      <c r="H13" s="334"/>
      <c r="I13" s="334"/>
      <c r="L13" s="289"/>
    </row>
    <row r="14" spans="1:14" x14ac:dyDescent="0.35">
      <c r="A14" s="388"/>
      <c r="B14" s="291"/>
      <c r="C14" s="292" t="s">
        <v>83</v>
      </c>
      <c r="D14" s="292" t="s">
        <v>84</v>
      </c>
      <c r="E14" s="292" t="s">
        <v>85</v>
      </c>
      <c r="F14" s="292" t="s">
        <v>86</v>
      </c>
      <c r="G14" s="293" t="s">
        <v>87</v>
      </c>
      <c r="H14" s="335"/>
      <c r="I14" s="335"/>
      <c r="L14" s="289"/>
    </row>
    <row r="15" spans="1:14" x14ac:dyDescent="0.35">
      <c r="A15" s="388"/>
      <c r="B15" s="294" t="s">
        <v>92</v>
      </c>
      <c r="C15" s="295">
        <f>100*A2/13.5*0.8</f>
        <v>0</v>
      </c>
      <c r="D15" s="295">
        <f>100*A2/13.5*0.6</f>
        <v>0</v>
      </c>
      <c r="E15" s="295">
        <f>100*A2/13.5*0.4</f>
        <v>0</v>
      </c>
      <c r="F15" s="295">
        <f>100*A2/13.5*0.2</f>
        <v>0</v>
      </c>
      <c r="G15" s="296">
        <f>100*A2/13.5*0</f>
        <v>0</v>
      </c>
      <c r="H15" s="344"/>
      <c r="I15" s="336"/>
      <c r="L15" s="289"/>
    </row>
    <row r="16" spans="1:14" x14ac:dyDescent="0.35">
      <c r="A16" s="388"/>
      <c r="B16" s="297" t="s">
        <v>106</v>
      </c>
      <c r="C16" s="298">
        <f>250*A2/10*0.2</f>
        <v>0</v>
      </c>
      <c r="D16" s="298">
        <f>250*A2/10*0.4</f>
        <v>0</v>
      </c>
      <c r="E16" s="298">
        <f>250*A2/10*0.6</f>
        <v>0</v>
      </c>
      <c r="F16" s="298">
        <f>250*A2/10*0.8</f>
        <v>0</v>
      </c>
      <c r="G16" s="299">
        <f>250*A2/10*1</f>
        <v>0</v>
      </c>
      <c r="H16" s="345"/>
      <c r="I16" s="337"/>
      <c r="L16" s="289"/>
    </row>
    <row r="17" spans="1:12" x14ac:dyDescent="0.35">
      <c r="A17" s="388"/>
      <c r="B17" s="314" t="s">
        <v>102</v>
      </c>
      <c r="C17" s="321">
        <f>(C15*473/100)+(C16*110/250)</f>
        <v>0</v>
      </c>
      <c r="D17" s="321">
        <f>(D15*473/100)+(D16*110/250)</f>
        <v>0</v>
      </c>
      <c r="E17" s="321">
        <f>(E15*473/100)+(E16*110/250)</f>
        <v>0</v>
      </c>
      <c r="F17" s="321">
        <f>(F15*473/100)+(F16*110/250)</f>
        <v>0</v>
      </c>
      <c r="G17" s="322">
        <f>(G15*473/100)+(G16*110/250)</f>
        <v>0</v>
      </c>
      <c r="H17" s="338"/>
      <c r="I17" s="338"/>
      <c r="L17" s="289"/>
    </row>
    <row r="18" spans="1:12" ht="15" thickBot="1" x14ac:dyDescent="0.4">
      <c r="A18" s="389"/>
      <c r="B18" s="300" t="s">
        <v>103</v>
      </c>
      <c r="C18" s="317">
        <f>C16*18/250</f>
        <v>0</v>
      </c>
      <c r="D18" s="317">
        <f>D16*18/250</f>
        <v>0</v>
      </c>
      <c r="E18" s="317">
        <f>E16*18/250</f>
        <v>0</v>
      </c>
      <c r="F18" s="317">
        <f>F16*18/250</f>
        <v>0</v>
      </c>
      <c r="G18" s="317">
        <f>G16*18/250</f>
        <v>0</v>
      </c>
      <c r="H18" s="341"/>
      <c r="I18" s="341"/>
      <c r="L18" s="289"/>
    </row>
    <row r="19" spans="1:12" x14ac:dyDescent="0.35">
      <c r="A19" s="290"/>
      <c r="B19" s="303"/>
      <c r="C19" s="306"/>
      <c r="D19" s="306"/>
      <c r="E19" s="306"/>
      <c r="F19" s="306"/>
      <c r="G19" s="306"/>
      <c r="H19" s="306"/>
      <c r="I19" s="306"/>
      <c r="L19" s="289"/>
    </row>
    <row r="20" spans="1:12" ht="15" thickBot="1" x14ac:dyDescent="0.4">
      <c r="A20" s="310"/>
      <c r="B20" s="277"/>
      <c r="C20" s="277"/>
      <c r="D20" s="277"/>
      <c r="E20" s="277"/>
      <c r="F20" s="277"/>
      <c r="G20" s="277"/>
      <c r="H20" s="277"/>
      <c r="I20" s="277"/>
      <c r="J20" s="277"/>
      <c r="K20" s="277"/>
      <c r="L20" s="278"/>
    </row>
    <row r="21" spans="1:12" x14ac:dyDescent="0.35">
      <c r="A21" t="s">
        <v>109</v>
      </c>
    </row>
    <row r="23" spans="1:12" x14ac:dyDescent="0.35">
      <c r="A23" s="343" t="s">
        <v>132</v>
      </c>
    </row>
    <row r="24" spans="1:12" x14ac:dyDescent="0.35">
      <c r="A24" s="311" t="s">
        <v>124</v>
      </c>
    </row>
  </sheetData>
  <sheetProtection algorithmName="SHA-512" hashValue="lwqX/v8FRAI9/sl3vzc8gbST9MiCCOIQ1dCrcA4jDN1iPQxqzIeKY8M3dNjnBm1ZcFTUmK7HEYse1Zva4PZBGw==" saltValue="nhW2i/TfSedMDTdEKow9bw==" spinCount="100000" sheet="1" objects="1" scenarios="1"/>
  <mergeCells count="6">
    <mergeCell ref="A1:B1"/>
    <mergeCell ref="D1:J2"/>
    <mergeCell ref="A5:A10"/>
    <mergeCell ref="B5:L5"/>
    <mergeCell ref="A13:A18"/>
    <mergeCell ref="B13:G1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-0.499984740745262"/>
  </sheetPr>
  <dimension ref="A1:L33"/>
  <sheetViews>
    <sheetView showGridLines="0" zoomScale="80" zoomScaleNormal="80" workbookViewId="0">
      <selection activeCell="A3" sqref="A3"/>
    </sheetView>
  </sheetViews>
  <sheetFormatPr defaultColWidth="9.1796875" defaultRowHeight="14.5" x14ac:dyDescent="0.35"/>
  <cols>
    <col min="1" max="1" width="20.26953125" customWidth="1"/>
    <col min="2" max="2" width="21.453125" customWidth="1"/>
    <col min="13" max="13" width="4.26953125" customWidth="1"/>
  </cols>
  <sheetData>
    <row r="1" spans="1:12" ht="45" customHeight="1" x14ac:dyDescent="0.35">
      <c r="A1" s="381" t="s">
        <v>79</v>
      </c>
      <c r="B1" s="382"/>
      <c r="C1" s="287"/>
      <c r="D1" s="390" t="s">
        <v>110</v>
      </c>
      <c r="E1" s="390"/>
      <c r="F1" s="390"/>
      <c r="G1" s="390"/>
      <c r="H1" s="390"/>
      <c r="I1" s="390"/>
      <c r="J1" s="312"/>
      <c r="K1" s="287"/>
      <c r="L1" s="288"/>
    </row>
    <row r="2" spans="1:12" ht="45" customHeight="1" thickBot="1" x14ac:dyDescent="0.4">
      <c r="A2" s="1">
        <v>0</v>
      </c>
      <c r="D2" s="393"/>
      <c r="E2" s="393"/>
      <c r="F2" s="393"/>
      <c r="G2" s="393"/>
      <c r="H2" s="393"/>
      <c r="I2" s="393"/>
      <c r="J2" s="313"/>
      <c r="L2" s="289"/>
    </row>
    <row r="3" spans="1:12" x14ac:dyDescent="0.35">
      <c r="A3" s="290"/>
      <c r="L3" s="289"/>
    </row>
    <row r="4" spans="1:12" ht="15" thickBot="1" x14ac:dyDescent="0.4">
      <c r="A4" s="290"/>
      <c r="L4" s="289"/>
    </row>
    <row r="5" spans="1:12" x14ac:dyDescent="0.35">
      <c r="A5" s="383" t="s">
        <v>111</v>
      </c>
      <c r="B5" s="379" t="s">
        <v>82</v>
      </c>
      <c r="C5" s="379"/>
      <c r="D5" s="379"/>
      <c r="E5" s="379"/>
      <c r="F5" s="379"/>
      <c r="G5" s="379"/>
      <c r="H5" s="379"/>
      <c r="I5" s="379"/>
      <c r="J5" s="379"/>
      <c r="K5" s="379"/>
      <c r="L5" s="380"/>
    </row>
    <row r="6" spans="1:12" x14ac:dyDescent="0.35">
      <c r="A6" s="384"/>
      <c r="B6" s="307"/>
      <c r="C6" s="292" t="s">
        <v>83</v>
      </c>
      <c r="D6" s="292" t="s">
        <v>84</v>
      </c>
      <c r="E6" s="292" t="s">
        <v>85</v>
      </c>
      <c r="F6" s="292" t="s">
        <v>86</v>
      </c>
      <c r="G6" s="292" t="s">
        <v>87</v>
      </c>
      <c r="H6" s="292" t="s">
        <v>88</v>
      </c>
      <c r="I6" s="292" t="s">
        <v>112</v>
      </c>
      <c r="J6" s="292" t="s">
        <v>89</v>
      </c>
      <c r="K6" s="292" t="s">
        <v>90</v>
      </c>
      <c r="L6" s="293" t="s">
        <v>91</v>
      </c>
    </row>
    <row r="7" spans="1:12" x14ac:dyDescent="0.35">
      <c r="A7" s="384"/>
      <c r="B7" s="323" t="s">
        <v>113</v>
      </c>
      <c r="C7" s="324">
        <f>100*A2/15*0.9</f>
        <v>0</v>
      </c>
      <c r="D7" s="324">
        <f>100*A2/15*0.8</f>
        <v>0</v>
      </c>
      <c r="E7" s="324">
        <f>100*A2/15*0.7</f>
        <v>0</v>
      </c>
      <c r="F7" s="324">
        <f>100*A2/15*0.6</f>
        <v>0</v>
      </c>
      <c r="G7" s="324">
        <f>100*A2/15*0.5</f>
        <v>0</v>
      </c>
      <c r="H7" s="324">
        <f>100*A2/15*0.4</f>
        <v>0</v>
      </c>
      <c r="I7" s="324">
        <f>100*A2/15*0.3</f>
        <v>0</v>
      </c>
      <c r="J7" s="324">
        <f>100*A2/15*0.2</f>
        <v>0</v>
      </c>
      <c r="K7" s="324">
        <f>100*A2/15*0.1</f>
        <v>0</v>
      </c>
      <c r="L7" s="325">
        <f>100*A2/15*0</f>
        <v>0</v>
      </c>
    </row>
    <row r="8" spans="1:12" x14ac:dyDescent="0.35">
      <c r="A8" s="384"/>
      <c r="B8" s="326" t="s">
        <v>92</v>
      </c>
      <c r="C8" s="327">
        <f>100*A2/13.5*0.1</f>
        <v>0</v>
      </c>
      <c r="D8" s="327">
        <f>100*A2/13.5*0.2</f>
        <v>0</v>
      </c>
      <c r="E8" s="327">
        <f>100*A2/13.5*0.3</f>
        <v>0</v>
      </c>
      <c r="F8" s="327">
        <f>100*A2/13.5*0.4</f>
        <v>0</v>
      </c>
      <c r="G8" s="327">
        <f>100*A2/13.5*0.5</f>
        <v>0</v>
      </c>
      <c r="H8" s="327">
        <f>100*A2/13.5*0.6</f>
        <v>0</v>
      </c>
      <c r="I8" s="327">
        <f>100*A2/13.5*0.7</f>
        <v>0</v>
      </c>
      <c r="J8" s="327">
        <f>100*A2/13.5*0.8</f>
        <v>0</v>
      </c>
      <c r="K8" s="327">
        <f>100*A2/13.5*0.9</f>
        <v>0</v>
      </c>
      <c r="L8" s="328">
        <f>100*A2/13.5*1</f>
        <v>0</v>
      </c>
    </row>
    <row r="9" spans="1:12" x14ac:dyDescent="0.35">
      <c r="A9" s="384"/>
      <c r="B9" s="320" t="s">
        <v>102</v>
      </c>
      <c r="C9" s="321">
        <f t="shared" ref="C9:L9" si="0">(C7*480/100)+(C8*473/100)</f>
        <v>0</v>
      </c>
      <c r="D9" s="321">
        <f t="shared" si="0"/>
        <v>0</v>
      </c>
      <c r="E9" s="321">
        <f t="shared" si="0"/>
        <v>0</v>
      </c>
      <c r="F9" s="321">
        <f t="shared" si="0"/>
        <v>0</v>
      </c>
      <c r="G9" s="321">
        <f t="shared" si="0"/>
        <v>0</v>
      </c>
      <c r="H9" s="321">
        <f t="shared" si="0"/>
        <v>0</v>
      </c>
      <c r="I9" s="321">
        <f t="shared" si="0"/>
        <v>0</v>
      </c>
      <c r="J9" s="321">
        <f t="shared" si="0"/>
        <v>0</v>
      </c>
      <c r="K9" s="321">
        <f t="shared" si="0"/>
        <v>0</v>
      </c>
      <c r="L9" s="321">
        <f t="shared" si="0"/>
        <v>0</v>
      </c>
    </row>
    <row r="10" spans="1:12" ht="15" thickBot="1" x14ac:dyDescent="0.4">
      <c r="A10" s="385"/>
      <c r="B10" s="305" t="s">
        <v>24</v>
      </c>
      <c r="C10" s="317">
        <f t="shared" ref="C10:L10" si="1">C8*5.3/100</f>
        <v>0</v>
      </c>
      <c r="D10" s="317">
        <f t="shared" si="1"/>
        <v>0</v>
      </c>
      <c r="E10" s="317">
        <f t="shared" si="1"/>
        <v>0</v>
      </c>
      <c r="F10" s="317">
        <f t="shared" si="1"/>
        <v>0</v>
      </c>
      <c r="G10" s="317">
        <f t="shared" si="1"/>
        <v>0</v>
      </c>
      <c r="H10" s="317">
        <f t="shared" si="1"/>
        <v>0</v>
      </c>
      <c r="I10" s="317">
        <f t="shared" si="1"/>
        <v>0</v>
      </c>
      <c r="J10" s="317">
        <f t="shared" si="1"/>
        <v>0</v>
      </c>
      <c r="K10" s="317">
        <f t="shared" si="1"/>
        <v>0</v>
      </c>
      <c r="L10" s="318">
        <f t="shared" si="1"/>
        <v>0</v>
      </c>
    </row>
    <row r="11" spans="1:12" x14ac:dyDescent="0.35">
      <c r="A11" s="290"/>
      <c r="B11" s="303"/>
      <c r="C11" s="304"/>
      <c r="D11" s="304"/>
      <c r="E11" s="304"/>
      <c r="F11" s="304"/>
      <c r="L11" s="289"/>
    </row>
    <row r="12" spans="1:12" ht="15" thickBot="1" x14ac:dyDescent="0.4">
      <c r="A12" s="290"/>
      <c r="L12" s="289"/>
    </row>
    <row r="13" spans="1:12" x14ac:dyDescent="0.35">
      <c r="A13" s="387" t="s">
        <v>114</v>
      </c>
      <c r="B13" s="379" t="s">
        <v>115</v>
      </c>
      <c r="C13" s="379"/>
      <c r="D13" s="379"/>
      <c r="E13" s="379"/>
      <c r="F13" s="379"/>
      <c r="G13" s="379"/>
      <c r="H13" s="379"/>
      <c r="I13" s="380"/>
      <c r="L13" s="289"/>
    </row>
    <row r="14" spans="1:12" x14ac:dyDescent="0.35">
      <c r="A14" s="388"/>
      <c r="B14" s="307"/>
      <c r="C14" s="292" t="s">
        <v>83</v>
      </c>
      <c r="D14" s="292" t="s">
        <v>84</v>
      </c>
      <c r="E14" s="292" t="s">
        <v>85</v>
      </c>
      <c r="F14" s="292" t="s">
        <v>86</v>
      </c>
      <c r="G14" s="292" t="s">
        <v>87</v>
      </c>
      <c r="H14" s="292" t="s">
        <v>88</v>
      </c>
      <c r="I14" s="293" t="s">
        <v>112</v>
      </c>
      <c r="L14" s="289"/>
    </row>
    <row r="15" spans="1:12" x14ac:dyDescent="0.35">
      <c r="A15" s="388"/>
      <c r="B15" s="323" t="s">
        <v>113</v>
      </c>
      <c r="C15" s="324">
        <f>100*A2/15*0.857</f>
        <v>0</v>
      </c>
      <c r="D15" s="324">
        <f>100*A2/15*0.714</f>
        <v>0</v>
      </c>
      <c r="E15" s="324">
        <f>100*A2/15*0.571</f>
        <v>0</v>
      </c>
      <c r="F15" s="324">
        <f>100*A2/15*0.429</f>
        <v>0</v>
      </c>
      <c r="G15" s="324">
        <f>100*A2/15*0.286</f>
        <v>0</v>
      </c>
      <c r="H15" s="324">
        <f>100*A2/15*0.143</f>
        <v>0</v>
      </c>
      <c r="I15" s="325">
        <f>100*A2/15*0</f>
        <v>0</v>
      </c>
      <c r="L15" s="289"/>
    </row>
    <row r="16" spans="1:12" x14ac:dyDescent="0.35">
      <c r="A16" s="388"/>
      <c r="B16" s="326" t="s">
        <v>92</v>
      </c>
      <c r="C16" s="327">
        <f>100*A2/13.5*0.143</f>
        <v>0</v>
      </c>
      <c r="D16" s="327">
        <f>100*A2/13.5*0.286</f>
        <v>0</v>
      </c>
      <c r="E16" s="327">
        <f>100*A2/13.5*0.429</f>
        <v>0</v>
      </c>
      <c r="F16" s="327">
        <f>100*A2/13.5*0.571</f>
        <v>0</v>
      </c>
      <c r="G16" s="327">
        <f>100*A2/13.5*0.714</f>
        <v>0</v>
      </c>
      <c r="H16" s="327">
        <f>100*A2/13.5*0.857</f>
        <v>0</v>
      </c>
      <c r="I16" s="328">
        <f>100*A2/13.5*1</f>
        <v>0</v>
      </c>
      <c r="L16" s="289"/>
    </row>
    <row r="17" spans="1:12" x14ac:dyDescent="0.35">
      <c r="A17" s="388"/>
      <c r="B17" s="320" t="s">
        <v>102</v>
      </c>
      <c r="C17" s="321">
        <f t="shared" ref="C17:I17" si="2">(C15*480/100)+(C16*473/100)</f>
        <v>0</v>
      </c>
      <c r="D17" s="321">
        <f t="shared" si="2"/>
        <v>0</v>
      </c>
      <c r="E17" s="321">
        <f t="shared" si="2"/>
        <v>0</v>
      </c>
      <c r="F17" s="321">
        <f t="shared" si="2"/>
        <v>0</v>
      </c>
      <c r="G17" s="321">
        <f t="shared" si="2"/>
        <v>0</v>
      </c>
      <c r="H17" s="321">
        <f t="shared" si="2"/>
        <v>0</v>
      </c>
      <c r="I17" s="321">
        <f t="shared" si="2"/>
        <v>0</v>
      </c>
      <c r="L17" s="289"/>
    </row>
    <row r="18" spans="1:12" ht="15" thickBot="1" x14ac:dyDescent="0.4">
      <c r="A18" s="389"/>
      <c r="B18" s="305" t="s">
        <v>24</v>
      </c>
      <c r="C18" s="317">
        <f t="shared" ref="C18:I18" si="3">C16*5.3/100</f>
        <v>0</v>
      </c>
      <c r="D18" s="317">
        <f t="shared" si="3"/>
        <v>0</v>
      </c>
      <c r="E18" s="317">
        <f t="shared" si="3"/>
        <v>0</v>
      </c>
      <c r="F18" s="317">
        <f t="shared" si="3"/>
        <v>0</v>
      </c>
      <c r="G18" s="317">
        <f t="shared" si="3"/>
        <v>0</v>
      </c>
      <c r="H18" s="317">
        <f t="shared" si="3"/>
        <v>0</v>
      </c>
      <c r="I18" s="318">
        <f t="shared" si="3"/>
        <v>0</v>
      </c>
      <c r="J18" s="303" t="s">
        <v>59</v>
      </c>
      <c r="L18" s="289"/>
    </row>
    <row r="19" spans="1:12" x14ac:dyDescent="0.35">
      <c r="A19" s="290"/>
      <c r="B19" s="303"/>
      <c r="C19" s="306"/>
      <c r="D19" s="306"/>
      <c r="E19" s="306"/>
      <c r="F19" s="306"/>
      <c r="G19" s="306"/>
      <c r="H19" s="306"/>
      <c r="I19" s="306"/>
      <c r="L19" s="289"/>
    </row>
    <row r="20" spans="1:12" ht="15" thickBot="1" x14ac:dyDescent="0.4">
      <c r="A20" s="290"/>
      <c r="L20" s="289"/>
    </row>
    <row r="21" spans="1:12" x14ac:dyDescent="0.35">
      <c r="A21" s="376" t="s">
        <v>97</v>
      </c>
      <c r="B21" s="379" t="s">
        <v>98</v>
      </c>
      <c r="C21" s="379"/>
      <c r="D21" s="379"/>
      <c r="E21" s="379"/>
      <c r="F21" s="380"/>
      <c r="L21" s="289"/>
    </row>
    <row r="22" spans="1:12" x14ac:dyDescent="0.35">
      <c r="A22" s="377"/>
      <c r="B22" s="307"/>
      <c r="C22" s="292" t="s">
        <v>83</v>
      </c>
      <c r="D22" s="292" t="s">
        <v>84</v>
      </c>
      <c r="E22" s="292" t="s">
        <v>85</v>
      </c>
      <c r="F22" s="293" t="s">
        <v>86</v>
      </c>
      <c r="L22" s="289"/>
    </row>
    <row r="23" spans="1:12" x14ac:dyDescent="0.35">
      <c r="A23" s="377"/>
      <c r="B23" s="323" t="s">
        <v>113</v>
      </c>
      <c r="C23" s="324">
        <f>100*A2/15*0.75</f>
        <v>0</v>
      </c>
      <c r="D23" s="324">
        <f>100*A2/15*0.5</f>
        <v>0</v>
      </c>
      <c r="E23" s="324">
        <f>100*A2/15*0.25</f>
        <v>0</v>
      </c>
      <c r="F23" s="325">
        <f>100/15*A2*0</f>
        <v>0</v>
      </c>
      <c r="L23" s="289"/>
    </row>
    <row r="24" spans="1:12" x14ac:dyDescent="0.35">
      <c r="A24" s="377"/>
      <c r="B24" s="326" t="s">
        <v>92</v>
      </c>
      <c r="C24" s="327">
        <f>100*A2/13.5*0.25</f>
        <v>0</v>
      </c>
      <c r="D24" s="327">
        <f>100*A2/13.5*0.5</f>
        <v>0</v>
      </c>
      <c r="E24" s="327">
        <f>100*A2/13.5*0.75</f>
        <v>0</v>
      </c>
      <c r="F24" s="328">
        <f>100*A2/13.5*1</f>
        <v>0</v>
      </c>
      <c r="L24" s="289"/>
    </row>
    <row r="25" spans="1:12" x14ac:dyDescent="0.35">
      <c r="A25" s="377"/>
      <c r="B25" s="320" t="s">
        <v>102</v>
      </c>
      <c r="C25" s="321">
        <f>(C23*480/100)+(C24*473/100)</f>
        <v>0</v>
      </c>
      <c r="D25" s="321">
        <f>(D23*480/100)+(D24*473/100)</f>
        <v>0</v>
      </c>
      <c r="E25" s="321">
        <f>(E23*480/100)+(E24*473/100)</f>
        <v>0</v>
      </c>
      <c r="F25" s="321">
        <f>(F23*480/100)+(F24*473/100)</f>
        <v>0</v>
      </c>
      <c r="L25" s="289"/>
    </row>
    <row r="26" spans="1:12" ht="15" thickBot="1" x14ac:dyDescent="0.4">
      <c r="A26" s="378"/>
      <c r="B26" s="305" t="s">
        <v>24</v>
      </c>
      <c r="C26" s="317">
        <f>C24*5.3/100</f>
        <v>0</v>
      </c>
      <c r="D26" s="317">
        <f>D24*5.3/100</f>
        <v>0</v>
      </c>
      <c r="E26" s="317">
        <f>E24*5.3/100</f>
        <v>0</v>
      </c>
      <c r="F26" s="318">
        <f>F24*5.3/100</f>
        <v>0</v>
      </c>
      <c r="L26" s="289"/>
    </row>
    <row r="27" spans="1:12" x14ac:dyDescent="0.35">
      <c r="A27" s="290"/>
      <c r="L27" s="289"/>
    </row>
    <row r="28" spans="1:12" ht="15" thickBot="1" x14ac:dyDescent="0.4">
      <c r="A28" s="310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8"/>
    </row>
    <row r="29" spans="1:12" x14ac:dyDescent="0.35">
      <c r="A29" t="s">
        <v>0</v>
      </c>
    </row>
    <row r="30" spans="1:12" x14ac:dyDescent="0.35">
      <c r="A30" t="s">
        <v>134</v>
      </c>
    </row>
    <row r="31" spans="1:12" x14ac:dyDescent="0.35">
      <c r="B31" s="394"/>
      <c r="C31" s="394"/>
      <c r="D31" s="394"/>
      <c r="E31" s="394"/>
      <c r="F31" s="394"/>
      <c r="G31" s="394"/>
      <c r="H31" s="394"/>
    </row>
    <row r="32" spans="1:12" x14ac:dyDescent="0.35">
      <c r="A32" s="274" t="s">
        <v>122</v>
      </c>
    </row>
    <row r="33" spans="1:1" x14ac:dyDescent="0.35">
      <c r="A33" s="311" t="s">
        <v>124</v>
      </c>
    </row>
  </sheetData>
  <sheetProtection algorithmName="SHA-512" hashValue="C06L/coAr9NiRBEUL8ic/TFSIxojCly6yqJxi2X9tIlwVlLidK0V+O4rMJRS0YL7716dnHfq/pwDfCGWwGm4Gg==" saltValue="i5LPbM7bmhavl/s3QcpUqw==" spinCount="100000" sheet="1" objects="1" scenarios="1"/>
  <mergeCells count="9">
    <mergeCell ref="A21:A26"/>
    <mergeCell ref="B21:F21"/>
    <mergeCell ref="B31:H31"/>
    <mergeCell ref="A1:B1"/>
    <mergeCell ref="D1:I2"/>
    <mergeCell ref="A5:A10"/>
    <mergeCell ref="B5:L5"/>
    <mergeCell ref="A13:A18"/>
    <mergeCell ref="B13:I13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3C7D7-BDBE-4A33-9F27-61794F611237}">
  <sheetPr>
    <tabColor theme="6" tint="-0.249977111117893"/>
  </sheetPr>
  <dimension ref="A1:L35"/>
  <sheetViews>
    <sheetView showGridLines="0" zoomScale="80" zoomScaleNormal="80" workbookViewId="0">
      <selection activeCell="A32" sqref="A32"/>
    </sheetView>
  </sheetViews>
  <sheetFormatPr defaultColWidth="9.1796875" defaultRowHeight="14.5" x14ac:dyDescent="0.35"/>
  <cols>
    <col min="1" max="1" width="20.26953125" customWidth="1"/>
    <col min="2" max="2" width="21.453125" customWidth="1"/>
    <col min="13" max="13" width="4.26953125" customWidth="1"/>
  </cols>
  <sheetData>
    <row r="1" spans="1:12" ht="45" customHeight="1" x14ac:dyDescent="0.35">
      <c r="A1" s="381" t="s">
        <v>79</v>
      </c>
      <c r="B1" s="382"/>
      <c r="C1" s="287"/>
      <c r="D1" s="390" t="s">
        <v>116</v>
      </c>
      <c r="E1" s="390"/>
      <c r="F1" s="390"/>
      <c r="G1" s="390"/>
      <c r="H1" s="390"/>
      <c r="I1" s="390"/>
      <c r="J1" s="312"/>
      <c r="K1" s="287"/>
      <c r="L1" s="288"/>
    </row>
    <row r="2" spans="1:12" ht="45" customHeight="1" thickBot="1" x14ac:dyDescent="0.4">
      <c r="A2" s="1">
        <v>0</v>
      </c>
      <c r="D2" s="393"/>
      <c r="E2" s="393"/>
      <c r="F2" s="393"/>
      <c r="G2" s="393"/>
      <c r="H2" s="393"/>
      <c r="I2" s="393"/>
      <c r="J2" s="313"/>
      <c r="L2" s="289"/>
    </row>
    <row r="3" spans="1:12" x14ac:dyDescent="0.35">
      <c r="A3" s="290"/>
      <c r="L3" s="289"/>
    </row>
    <row r="4" spans="1:12" ht="15" thickBot="1" x14ac:dyDescent="0.4">
      <c r="A4" s="290"/>
      <c r="L4" s="289"/>
    </row>
    <row r="5" spans="1:12" x14ac:dyDescent="0.35">
      <c r="A5" s="383" t="s">
        <v>111</v>
      </c>
      <c r="B5" s="379" t="s">
        <v>82</v>
      </c>
      <c r="C5" s="379"/>
      <c r="D5" s="379"/>
      <c r="E5" s="379"/>
      <c r="F5" s="379"/>
      <c r="G5" s="379"/>
      <c r="H5" s="379"/>
      <c r="I5" s="379"/>
      <c r="J5" s="379"/>
      <c r="K5" s="379"/>
      <c r="L5" s="380"/>
    </row>
    <row r="6" spans="1:12" x14ac:dyDescent="0.35">
      <c r="A6" s="384"/>
      <c r="B6" s="307"/>
      <c r="C6" s="292" t="s">
        <v>83</v>
      </c>
      <c r="D6" s="292" t="s">
        <v>84</v>
      </c>
      <c r="E6" s="292" t="s">
        <v>85</v>
      </c>
      <c r="F6" s="292" t="s">
        <v>86</v>
      </c>
      <c r="G6" s="292" t="s">
        <v>87</v>
      </c>
      <c r="H6" s="292" t="s">
        <v>88</v>
      </c>
      <c r="I6" s="292" t="s">
        <v>112</v>
      </c>
      <c r="J6" s="292" t="s">
        <v>89</v>
      </c>
      <c r="K6" s="292" t="s">
        <v>90</v>
      </c>
      <c r="L6" s="293" t="s">
        <v>91</v>
      </c>
    </row>
    <row r="7" spans="1:12" x14ac:dyDescent="0.35">
      <c r="A7" s="384"/>
      <c r="B7" s="323" t="s">
        <v>113</v>
      </c>
      <c r="C7" s="324">
        <f>100*A2/15*0.9</f>
        <v>0</v>
      </c>
      <c r="D7" s="324">
        <f>100*A2/15*0.8</f>
        <v>0</v>
      </c>
      <c r="E7" s="324">
        <f>100*A2/15*0.7</f>
        <v>0</v>
      </c>
      <c r="F7" s="324">
        <f>100*A2/15*0.6</f>
        <v>0</v>
      </c>
      <c r="G7" s="324">
        <f>100*A2/15*0.5</f>
        <v>0</v>
      </c>
      <c r="H7" s="324">
        <f>100*A2/15*0.4</f>
        <v>0</v>
      </c>
      <c r="I7" s="324">
        <f>100*A2/15*0.3</f>
        <v>0</v>
      </c>
      <c r="J7" s="324">
        <f>100*A2/15*0.2</f>
        <v>0</v>
      </c>
      <c r="K7" s="324">
        <f>100*A2/15*0.1</f>
        <v>0</v>
      </c>
      <c r="L7" s="325">
        <f>100*A2/15*0</f>
        <v>0</v>
      </c>
    </row>
    <row r="8" spans="1:12" x14ac:dyDescent="0.35">
      <c r="A8" s="384"/>
      <c r="B8" s="329" t="s">
        <v>93</v>
      </c>
      <c r="C8" s="298">
        <f>100*A2/28*0.1</f>
        <v>0</v>
      </c>
      <c r="D8" s="298">
        <f>100*A2/28*0.2</f>
        <v>0</v>
      </c>
      <c r="E8" s="298">
        <f>100*A2/28*0.3</f>
        <v>0</v>
      </c>
      <c r="F8" s="298">
        <f>100*A2/28*0.4</f>
        <v>0</v>
      </c>
      <c r="G8" s="298">
        <f>100*A2/28*0.5</f>
        <v>0</v>
      </c>
      <c r="H8" s="298">
        <f>100*A2/28*0.6</f>
        <v>0</v>
      </c>
      <c r="I8" s="298">
        <f>100*A2/28*0.7</f>
        <v>0</v>
      </c>
      <c r="J8" s="298">
        <f>100*A2/28*0.8</f>
        <v>0</v>
      </c>
      <c r="K8" s="298">
        <f>100*A2/28*0.9</f>
        <v>0</v>
      </c>
      <c r="L8" s="299">
        <f>100*A2/28*1</f>
        <v>0</v>
      </c>
    </row>
    <row r="9" spans="1:12" x14ac:dyDescent="0.35">
      <c r="A9" s="384"/>
      <c r="B9" s="320" t="s">
        <v>94</v>
      </c>
      <c r="C9" s="321">
        <f t="shared" ref="C9:L9" si="0">(C7*480/100)+(C8*385/100)</f>
        <v>0</v>
      </c>
      <c r="D9" s="321">
        <f t="shared" si="0"/>
        <v>0</v>
      </c>
      <c r="E9" s="321">
        <f t="shared" si="0"/>
        <v>0</v>
      </c>
      <c r="F9" s="321">
        <f t="shared" si="0"/>
        <v>0</v>
      </c>
      <c r="G9" s="321">
        <f t="shared" si="0"/>
        <v>0</v>
      </c>
      <c r="H9" s="321">
        <f t="shared" si="0"/>
        <v>0</v>
      </c>
      <c r="I9" s="321">
        <f t="shared" si="0"/>
        <v>0</v>
      </c>
      <c r="J9" s="321">
        <f t="shared" si="0"/>
        <v>0</v>
      </c>
      <c r="K9" s="321">
        <f t="shared" si="0"/>
        <v>0</v>
      </c>
      <c r="L9" s="316">
        <f t="shared" si="0"/>
        <v>0</v>
      </c>
    </row>
    <row r="10" spans="1:12" ht="15" thickBot="1" x14ac:dyDescent="0.4">
      <c r="A10" s="385"/>
      <c r="B10" s="305" t="s">
        <v>24</v>
      </c>
      <c r="C10" s="317">
        <f t="shared" ref="C10:L10" si="1">C8*11.2/100</f>
        <v>0</v>
      </c>
      <c r="D10" s="317">
        <f t="shared" si="1"/>
        <v>0</v>
      </c>
      <c r="E10" s="317">
        <f t="shared" si="1"/>
        <v>0</v>
      </c>
      <c r="F10" s="317">
        <f t="shared" si="1"/>
        <v>0</v>
      </c>
      <c r="G10" s="317">
        <f t="shared" si="1"/>
        <v>0</v>
      </c>
      <c r="H10" s="317">
        <f t="shared" si="1"/>
        <v>0</v>
      </c>
      <c r="I10" s="317">
        <f t="shared" si="1"/>
        <v>0</v>
      </c>
      <c r="J10" s="317">
        <f t="shared" si="1"/>
        <v>0</v>
      </c>
      <c r="K10" s="317">
        <f t="shared" si="1"/>
        <v>0</v>
      </c>
      <c r="L10" s="317">
        <f t="shared" si="1"/>
        <v>0</v>
      </c>
    </row>
    <row r="11" spans="1:12" x14ac:dyDescent="0.35">
      <c r="A11" s="290"/>
      <c r="B11" s="303"/>
      <c r="C11" s="304"/>
      <c r="D11" s="304"/>
      <c r="E11" s="304"/>
      <c r="F11" s="304"/>
      <c r="L11" s="289"/>
    </row>
    <row r="12" spans="1:12" ht="15" thickBot="1" x14ac:dyDescent="0.4">
      <c r="A12" s="290"/>
      <c r="L12" s="289"/>
    </row>
    <row r="13" spans="1:12" x14ac:dyDescent="0.35">
      <c r="A13" s="387" t="s">
        <v>114</v>
      </c>
      <c r="B13" s="379" t="s">
        <v>115</v>
      </c>
      <c r="C13" s="379"/>
      <c r="D13" s="379"/>
      <c r="E13" s="379"/>
      <c r="F13" s="379"/>
      <c r="G13" s="379"/>
      <c r="H13" s="379"/>
      <c r="I13" s="380"/>
      <c r="L13" s="289"/>
    </row>
    <row r="14" spans="1:12" x14ac:dyDescent="0.35">
      <c r="A14" s="388"/>
      <c r="B14" s="307"/>
      <c r="C14" s="292" t="s">
        <v>83</v>
      </c>
      <c r="D14" s="292" t="s">
        <v>84</v>
      </c>
      <c r="E14" s="292" t="s">
        <v>85</v>
      </c>
      <c r="F14" s="292" t="s">
        <v>86</v>
      </c>
      <c r="G14" s="292" t="s">
        <v>87</v>
      </c>
      <c r="H14" s="292" t="s">
        <v>88</v>
      </c>
      <c r="I14" s="293" t="s">
        <v>112</v>
      </c>
      <c r="L14" s="289"/>
    </row>
    <row r="15" spans="1:12" x14ac:dyDescent="0.35">
      <c r="A15" s="388"/>
      <c r="B15" s="323" t="s">
        <v>113</v>
      </c>
      <c r="C15" s="324">
        <f>100*A2/15*0.857</f>
        <v>0</v>
      </c>
      <c r="D15" s="324">
        <f>100*A2/15*0.714</f>
        <v>0</v>
      </c>
      <c r="E15" s="324">
        <f>100*A2/15*0.571</f>
        <v>0</v>
      </c>
      <c r="F15" s="324">
        <f>100*A2/15*0.429</f>
        <v>0</v>
      </c>
      <c r="G15" s="324">
        <f>100*A2/15*0.286</f>
        <v>0</v>
      </c>
      <c r="H15" s="324">
        <f>100*A2/15*0.143</f>
        <v>0</v>
      </c>
      <c r="I15" s="325">
        <f>100*A2/15*0</f>
        <v>0</v>
      </c>
      <c r="L15" s="289"/>
    </row>
    <row r="16" spans="1:12" x14ac:dyDescent="0.35">
      <c r="A16" s="388"/>
      <c r="B16" s="329" t="s">
        <v>93</v>
      </c>
      <c r="C16" s="298">
        <f>100*A2/28*0.143</f>
        <v>0</v>
      </c>
      <c r="D16" s="298">
        <f>100*A2/28*0.286</f>
        <v>0</v>
      </c>
      <c r="E16" s="298">
        <f>100*A2/28*0.429</f>
        <v>0</v>
      </c>
      <c r="F16" s="298">
        <f>100*A2/28*0.571</f>
        <v>0</v>
      </c>
      <c r="G16" s="298">
        <f>100*A2/28*0.714</f>
        <v>0</v>
      </c>
      <c r="H16" s="298">
        <f>100*A2/28*0.857</f>
        <v>0</v>
      </c>
      <c r="I16" s="299">
        <f>100*A2/28*1</f>
        <v>0</v>
      </c>
      <c r="L16" s="289"/>
    </row>
    <row r="17" spans="1:12" x14ac:dyDescent="0.35">
      <c r="A17" s="388"/>
      <c r="B17" s="320" t="s">
        <v>94</v>
      </c>
      <c r="C17" s="321">
        <f t="shared" ref="C17:I17" si="2">(C15*480/100)+(C16*385/100)</f>
        <v>0</v>
      </c>
      <c r="D17" s="321">
        <f t="shared" si="2"/>
        <v>0</v>
      </c>
      <c r="E17" s="321">
        <f t="shared" si="2"/>
        <v>0</v>
      </c>
      <c r="F17" s="321">
        <f t="shared" si="2"/>
        <v>0</v>
      </c>
      <c r="G17" s="321">
        <f t="shared" si="2"/>
        <v>0</v>
      </c>
      <c r="H17" s="321">
        <f t="shared" si="2"/>
        <v>0</v>
      </c>
      <c r="I17" s="321">
        <f t="shared" si="2"/>
        <v>0</v>
      </c>
      <c r="L17" s="289"/>
    </row>
    <row r="18" spans="1:12" ht="15" thickBot="1" x14ac:dyDescent="0.4">
      <c r="A18" s="389"/>
      <c r="B18" s="305" t="s">
        <v>24</v>
      </c>
      <c r="C18" s="317">
        <f t="shared" ref="C18:I18" si="3">C16*11.2/100</f>
        <v>0</v>
      </c>
      <c r="D18" s="317">
        <f t="shared" si="3"/>
        <v>0</v>
      </c>
      <c r="E18" s="317">
        <f t="shared" si="3"/>
        <v>0</v>
      </c>
      <c r="F18" s="317">
        <f t="shared" si="3"/>
        <v>0</v>
      </c>
      <c r="G18" s="317">
        <f t="shared" si="3"/>
        <v>0</v>
      </c>
      <c r="H18" s="317">
        <f t="shared" si="3"/>
        <v>0</v>
      </c>
      <c r="I18" s="317">
        <f t="shared" si="3"/>
        <v>0</v>
      </c>
      <c r="J18" s="303" t="s">
        <v>59</v>
      </c>
      <c r="L18" s="289"/>
    </row>
    <row r="19" spans="1:12" x14ac:dyDescent="0.35">
      <c r="A19" s="290"/>
      <c r="B19" s="303"/>
      <c r="C19" s="306"/>
      <c r="D19" s="306"/>
      <c r="E19" s="306"/>
      <c r="F19" s="306"/>
      <c r="G19" s="306"/>
      <c r="H19" s="306"/>
      <c r="I19" s="306"/>
      <c r="L19" s="289"/>
    </row>
    <row r="20" spans="1:12" ht="15" thickBot="1" x14ac:dyDescent="0.4">
      <c r="A20" s="290"/>
      <c r="L20" s="289"/>
    </row>
    <row r="21" spans="1:12" x14ac:dyDescent="0.35">
      <c r="A21" s="376" t="s">
        <v>97</v>
      </c>
      <c r="B21" s="379" t="s">
        <v>98</v>
      </c>
      <c r="C21" s="379"/>
      <c r="D21" s="379"/>
      <c r="E21" s="379"/>
      <c r="F21" s="380"/>
      <c r="L21" s="289"/>
    </row>
    <row r="22" spans="1:12" x14ac:dyDescent="0.35">
      <c r="A22" s="377"/>
      <c r="B22" s="307"/>
      <c r="C22" s="292" t="s">
        <v>83</v>
      </c>
      <c r="D22" s="292" t="s">
        <v>84</v>
      </c>
      <c r="E22" s="292" t="s">
        <v>85</v>
      </c>
      <c r="F22" s="293" t="s">
        <v>86</v>
      </c>
      <c r="L22" s="289"/>
    </row>
    <row r="23" spans="1:12" x14ac:dyDescent="0.35">
      <c r="A23" s="377"/>
      <c r="B23" s="323" t="s">
        <v>113</v>
      </c>
      <c r="C23" s="324">
        <f>100*A2/15*0.75</f>
        <v>0</v>
      </c>
      <c r="D23" s="324">
        <f>100*A2/15*0.5</f>
        <v>0</v>
      </c>
      <c r="E23" s="324">
        <f>100*A2/15*0.25</f>
        <v>0</v>
      </c>
      <c r="F23" s="325">
        <f>100/15*A2*0</f>
        <v>0</v>
      </c>
      <c r="L23" s="289"/>
    </row>
    <row r="24" spans="1:12" x14ac:dyDescent="0.35">
      <c r="A24" s="377"/>
      <c r="B24" s="329" t="s">
        <v>93</v>
      </c>
      <c r="C24" s="298">
        <f>100*A2/28*0.25</f>
        <v>0</v>
      </c>
      <c r="D24" s="298">
        <f>100*A2/28*0.5</f>
        <v>0</v>
      </c>
      <c r="E24" s="298">
        <f>100*A2/28*0.75</f>
        <v>0</v>
      </c>
      <c r="F24" s="299">
        <f>100*A2/28*1</f>
        <v>0</v>
      </c>
      <c r="L24" s="289"/>
    </row>
    <row r="25" spans="1:12" x14ac:dyDescent="0.35">
      <c r="A25" s="377"/>
      <c r="B25" s="320" t="s">
        <v>94</v>
      </c>
      <c r="C25" s="321">
        <f>(C23*480/100)+(C24*385/100)</f>
        <v>0</v>
      </c>
      <c r="D25" s="321">
        <f>(D23*480/100)+(D24*385/100)</f>
        <v>0</v>
      </c>
      <c r="E25" s="321">
        <f>(E23*480/100)+(E24*385/100)</f>
        <v>0</v>
      </c>
      <c r="F25" s="321">
        <f>(F23*480/100)+(F24*385/100)</f>
        <v>0</v>
      </c>
      <c r="L25" s="289"/>
    </row>
    <row r="26" spans="1:12" ht="15" thickBot="1" x14ac:dyDescent="0.4">
      <c r="A26" s="378"/>
      <c r="B26" s="305" t="s">
        <v>24</v>
      </c>
      <c r="C26" s="317">
        <f>C24*11.2/100</f>
        <v>0</v>
      </c>
      <c r="D26" s="317">
        <f>D24*11.2/100</f>
        <v>0</v>
      </c>
      <c r="E26" s="317">
        <f>E24*11.2/100</f>
        <v>0</v>
      </c>
      <c r="F26" s="317">
        <f>F24*11.2/100</f>
        <v>0</v>
      </c>
      <c r="L26" s="289"/>
    </row>
    <row r="27" spans="1:12" x14ac:dyDescent="0.35">
      <c r="A27" s="290"/>
      <c r="L27" s="289"/>
    </row>
    <row r="28" spans="1:12" ht="15" thickBot="1" x14ac:dyDescent="0.4">
      <c r="A28" s="310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8"/>
    </row>
    <row r="29" spans="1:12" x14ac:dyDescent="0.35">
      <c r="A29" t="s">
        <v>117</v>
      </c>
    </row>
    <row r="30" spans="1:12" x14ac:dyDescent="0.35">
      <c r="A30" t="s">
        <v>118</v>
      </c>
    </row>
    <row r="31" spans="1:12" ht="7.5" customHeight="1" x14ac:dyDescent="0.35"/>
    <row r="32" spans="1:12" x14ac:dyDescent="0.35">
      <c r="A32" t="s">
        <v>133</v>
      </c>
    </row>
    <row r="33" spans="1:8" ht="8.25" customHeight="1" x14ac:dyDescent="0.35">
      <c r="B33" s="394"/>
      <c r="C33" s="394"/>
      <c r="D33" s="394"/>
      <c r="E33" s="394"/>
      <c r="F33" s="394"/>
      <c r="G33" s="394"/>
      <c r="H33" s="394"/>
    </row>
    <row r="34" spans="1:8" x14ac:dyDescent="0.35">
      <c r="A34" s="274" t="s">
        <v>123</v>
      </c>
    </row>
    <row r="35" spans="1:8" x14ac:dyDescent="0.35">
      <c r="A35" s="311" t="s">
        <v>124</v>
      </c>
    </row>
  </sheetData>
  <sheetProtection algorithmName="SHA-512" hashValue="b0J2uh5k/JerGAQPjtE+sDYKJZT6xQaJKIVwQWZ/rY37Z3jwY0V3oYlGMUujrYDdI2bwQVVW8KP0YKoH3uD0qw==" saltValue="RFzNzD3AVyfDsMk8Yy5iOA==" spinCount="100000" sheet="1" objects="1" scenarios="1"/>
  <mergeCells count="9">
    <mergeCell ref="A21:A26"/>
    <mergeCell ref="B21:F21"/>
    <mergeCell ref="B33:H33"/>
    <mergeCell ref="A1:B1"/>
    <mergeCell ref="D1:I2"/>
    <mergeCell ref="A5:A10"/>
    <mergeCell ref="B5:L5"/>
    <mergeCell ref="A13:A18"/>
    <mergeCell ref="B13:I13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F45DD173B39446A06691C5F6119885" ma:contentTypeVersion="13" ma:contentTypeDescription="Create a new document." ma:contentTypeScope="" ma:versionID="e1dd553a8cb825aac01f8bbeeb06ae58">
  <xsd:schema xmlns:xsd="http://www.w3.org/2001/XMLSchema" xmlns:xs="http://www.w3.org/2001/XMLSchema" xmlns:p="http://schemas.microsoft.com/office/2006/metadata/properties" xmlns:ns3="81159831-01ae-441a-9d8c-148830c87460" xmlns:ns4="fe9b7d59-9fff-4b80-b384-28b07c6a1f11" targetNamespace="http://schemas.microsoft.com/office/2006/metadata/properties" ma:root="true" ma:fieldsID="d0bdbff0fd916267c7e37ce68b4e7c3e" ns3:_="" ns4:_="">
    <xsd:import namespace="81159831-01ae-441a-9d8c-148830c87460"/>
    <xsd:import namespace="fe9b7d59-9fff-4b80-b384-28b07c6a1f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159831-01ae-441a-9d8c-148830c874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9b7d59-9fff-4b80-b384-28b07c6a1f1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A8A378-CAD0-40BE-AC16-E645F355357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2CB0E54-2519-4B23-AA03-B3F8D30167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159831-01ae-441a-9d8c-148830c87460"/>
    <ds:schemaRef ds:uri="fe9b7d59-9fff-4b80-b384-28b07c6a1f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E1470B-49D4-45D1-9B73-9AB6B2DFF2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Home</vt:lpstr>
      <vt:lpstr>DRIs Periflex Early Yrs</vt:lpstr>
      <vt:lpstr>DRIs Periflex Jr+ PLAIN</vt:lpstr>
      <vt:lpstr>DRIs Periflex Jr+ FLAVORS</vt:lpstr>
      <vt:lpstr>Early Yrs to Periflex Jr+</vt:lpstr>
      <vt:lpstr>Early Yrs to PA GMP Drink Mix</vt:lpstr>
      <vt:lpstr>Early Yrs to PA GMP READY</vt:lpstr>
      <vt:lpstr>Abbott Phenex-1 to Early Yrs</vt:lpstr>
      <vt:lpstr>Abbott Phenex-1 to Periflex Jr+</vt:lpstr>
      <vt:lpstr>MJ Phenyl-Free1 to Early Yrs</vt:lpstr>
      <vt:lpstr>MJ Phenyl-Free1 to Periflex Jr+</vt:lpstr>
    </vt:vector>
  </TitlesOfParts>
  <Manager/>
  <Company>The Dannon Company,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Leuffgen Linda</dc:creator>
  <cp:keywords/>
  <dc:description/>
  <cp:lastModifiedBy>POWERS Rachel</cp:lastModifiedBy>
  <cp:revision/>
  <dcterms:created xsi:type="dcterms:W3CDTF">2015-03-31T16:54:07Z</dcterms:created>
  <dcterms:modified xsi:type="dcterms:W3CDTF">2023-02-10T16:53:05Z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0x0101006CF45DD173B39446A06691C5F6119885</vt:lpwstr>
  </property>
</Properties>
</file>