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16" windowWidth="6640" windowHeight="11640" activeTab="0"/>
  </bookViews>
  <sheets>
    <sheet name="UCD Anamix® Junior DRIs" sheetId="1" r:id="rId1"/>
  </sheets>
  <definedNames>
    <definedName name="_xlnm.Print_Area" localSheetId="0">'UCD Anamix® Junior DRIs'!$A$1:$S$77,'UCD Anamix® Junior DRIs'!$T$1:$AU$52</definedName>
  </definedNames>
  <calcPr fullCalcOnLoad="1"/>
</workbook>
</file>

<file path=xl/sharedStrings.xml><?xml version="1.0" encoding="utf-8"?>
<sst xmlns="http://schemas.openxmlformats.org/spreadsheetml/2006/main" count="247" uniqueCount="177">
  <si>
    <t>L-Tryptophan, g</t>
  </si>
  <si>
    <t>L-Threonine, g</t>
  </si>
  <si>
    <t>L-Tyrosine, g</t>
  </si>
  <si>
    <t>L-Valine, g</t>
  </si>
  <si>
    <t>L-Carnitine, g</t>
  </si>
  <si>
    <t>Taurine, g</t>
  </si>
  <si>
    <t>None</t>
  </si>
  <si>
    <t>Last Updated September 2012</t>
  </si>
  <si>
    <t>DRI
7-12 months*</t>
  </si>
  <si>
    <t>DRI 7-12 months*</t>
  </si>
  <si>
    <t>%DRI 7-12 months*</t>
  </si>
  <si>
    <t>% DRI
7-12
months*</t>
  </si>
  <si>
    <t xml:space="preserve">   Saturated, g</t>
  </si>
  <si>
    <r>
      <rPr>
        <b/>
        <sz val="10"/>
        <color indexed="8"/>
        <rFont val="Calibri"/>
        <family val="2"/>
      </rPr>
      <t xml:space="preserve">    </t>
    </r>
    <r>
      <rPr>
        <sz val="10"/>
        <color indexed="8"/>
        <rFont val="Arial"/>
        <family val="2"/>
      </rPr>
      <t>Monounsaturated, g</t>
    </r>
  </si>
  <si>
    <t xml:space="preserve">   Polyunsaturated, g</t>
  </si>
  <si>
    <t>Product, g</t>
  </si>
  <si>
    <r>
      <t xml:space="preserve">   Bold</t>
    </r>
    <r>
      <rPr>
        <sz val="11"/>
        <rFont val="Arial"/>
        <family val="2"/>
      </rPr>
      <t xml:space="preserve"> Numbers represent RDAs and non-bolded numbers represent AIs</t>
    </r>
  </si>
  <si>
    <t>Nutricia is a registered trademark of N.V. Nutricia</t>
  </si>
  <si>
    <t>Anamix is a registered trademark of SHS International Ltd.</t>
  </si>
  <si>
    <r>
      <rPr>
        <b/>
        <sz val="14"/>
        <rFont val="Calibri"/>
        <family val="2"/>
      </rPr>
      <t>UCD Anamix</t>
    </r>
    <r>
      <rPr>
        <b/>
        <vertAlign val="superscript"/>
        <sz val="14"/>
        <rFont val="Calibri"/>
        <family val="2"/>
      </rPr>
      <t>®</t>
    </r>
    <r>
      <rPr>
        <b/>
        <sz val="14"/>
        <rFont val="Calibri"/>
        <family val="2"/>
      </rPr>
      <t xml:space="preserve"> Junior
Unflavored &amp; Vanilla</t>
    </r>
    <r>
      <rPr>
        <sz val="14"/>
        <rFont val="Arial Black"/>
        <family val="2"/>
      </rPr>
      <t xml:space="preserve">
DRI Calculator</t>
    </r>
  </si>
  <si>
    <r>
      <rPr>
        <vertAlign val="superscript"/>
        <sz val="10"/>
        <rFont val="Arial"/>
        <family val="2"/>
      </rPr>
      <t xml:space="preserve">     †</t>
    </r>
    <r>
      <rPr>
        <sz val="10"/>
        <rFont val="Arial"/>
        <family val="0"/>
      </rPr>
      <t>DRI values listed for Protein in this table are the RDAs provided as "g/day" for most healthy people based on reference body 
    weights (versus "g/kg/day"). These are provided for reference only. The DRI for protein is often used to establish a starting 
    point for protein needs for UCD patients, with adjustments made based on clinical status, nutrition assessment, growth and 
    lab monitoring. Protein goals for UCD patients are highly individualized.</t>
    </r>
  </si>
  <si>
    <t xml:space="preserve">    *UCD Anamix Junior is indicated for use in patients over the age of 1 year.</t>
  </si>
  <si>
    <r>
      <t>Press [e</t>
    </r>
    <r>
      <rPr>
        <i/>
        <sz val="11.5"/>
        <rFont val="Calibri"/>
        <family val="2"/>
      </rPr>
      <t>nter</t>
    </r>
    <r>
      <rPr>
        <sz val="11.5"/>
        <rFont val="Calibri"/>
        <family val="2"/>
      </rPr>
      <t xml:space="preserve">].  The percentages of DRIs will change based on grams entered. Hold </t>
    </r>
    <r>
      <rPr>
        <i/>
        <sz val="11.5"/>
        <rFont val="Calibri"/>
        <family val="2"/>
      </rPr>
      <t>[CTRL]</t>
    </r>
    <r>
      <rPr>
        <sz val="11.5"/>
        <rFont val="Calibri"/>
        <family val="2"/>
      </rPr>
      <t xml:space="preserve"> and </t>
    </r>
    <r>
      <rPr>
        <i/>
        <sz val="11.5"/>
        <rFont val="Calibri"/>
        <family val="2"/>
      </rPr>
      <t>[P]</t>
    </r>
    <r>
      <rPr>
        <sz val="11.5"/>
        <rFont val="Calibri"/>
        <family val="2"/>
      </rPr>
      <t xml:space="preserve"> to print.</t>
    </r>
  </si>
  <si>
    <r>
      <rPr>
        <b/>
        <u val="single"/>
        <sz val="11.5"/>
        <rFont val="Calibri"/>
        <family val="2"/>
      </rPr>
      <t>Instructions</t>
    </r>
    <r>
      <rPr>
        <b/>
        <sz val="11.5"/>
        <rFont val="Calibri"/>
        <family val="2"/>
      </rPr>
      <t xml:space="preserve">: </t>
    </r>
    <r>
      <rPr>
        <sz val="11.5"/>
        <rFont val="Calibri"/>
        <family val="2"/>
      </rPr>
      <t xml:space="preserve">In cell C5, enter the number of grams of protein equivalent desired or being provided from UCD Anamix Junior. </t>
    </r>
  </si>
  <si>
    <t xml:space="preserve">   as MCT, g (80%)</t>
  </si>
  <si>
    <r>
      <t>Niacin Equivalent (B</t>
    </r>
    <r>
      <rPr>
        <b/>
        <vertAlign val="sub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), mg</t>
    </r>
  </si>
  <si>
    <t>Protein (Equivalent), g</t>
  </si>
  <si>
    <t xml:space="preserve">   Linoleic Acid, g</t>
  </si>
  <si>
    <r>
      <rPr>
        <b/>
        <sz val="10"/>
        <color indexed="8"/>
        <rFont val="Calibri"/>
        <family val="2"/>
      </rPr>
      <t xml:space="preserve">    </t>
    </r>
    <r>
      <rPr>
        <sz val="10"/>
        <color indexed="8"/>
        <rFont val="Calibri"/>
        <family val="2"/>
      </rPr>
      <t>α</t>
    </r>
    <r>
      <rPr>
        <sz val="10"/>
        <color indexed="8"/>
        <rFont val="Arial"/>
        <family val="2"/>
      </rPr>
      <t>-Linolenic Acid, g</t>
    </r>
  </si>
  <si>
    <t xml:space="preserve">   Fiber, g</t>
  </si>
  <si>
    <t>% DRI  &lt;19 yo Pregnant</t>
  </si>
  <si>
    <t>% DRI  &lt;19 yo Lactation</t>
  </si>
  <si>
    <t>DRI  19-30 yo Pregnant</t>
  </si>
  <si>
    <t>% DRI  19-30 yo Pregnant</t>
  </si>
  <si>
    <t>DRI  19-30 yo Lactation</t>
  </si>
  <si>
    <t>% DRI  19-30 yo Lactation</t>
  </si>
  <si>
    <t>DRI  &lt;19 yo Pregnant</t>
  </si>
  <si>
    <t>DRI  &lt;19 yo Lactation</t>
  </si>
  <si>
    <t>DRI  31-50 yo Pregnant</t>
  </si>
  <si>
    <t>% DRI  31-50 yo Pregnant</t>
  </si>
  <si>
    <t>DRI  31-50 yo Lactation</t>
  </si>
  <si>
    <t>% DRI  31-50 yo Lactation</t>
  </si>
  <si>
    <t>% DRI 31-50 yo Lactation</t>
  </si>
  <si>
    <t>DRI 31-50 yo Pregnant</t>
  </si>
  <si>
    <t>% DRI 31-50 yo Pregnant</t>
  </si>
  <si>
    <t>% DRI
19-30 years
Lactation</t>
  </si>
  <si>
    <t>DRI
19-30 years
Lactation</t>
  </si>
  <si>
    <t>% DRI
19-30 years
Pregnancy</t>
  </si>
  <si>
    <t>DRI
19-30 years
Pregnancy</t>
  </si>
  <si>
    <t>DRI 
31-50 years
Pregnancy</t>
  </si>
  <si>
    <t>% DRI
31-50 years
Pregnancy</t>
  </si>
  <si>
    <t>DRI
31-50 years
Lactation</t>
  </si>
  <si>
    <t>% DRI
31-50 years
Lactation</t>
  </si>
  <si>
    <t>% DRI
&lt;19 years
Lactation</t>
  </si>
  <si>
    <t>DRI
&lt;19 years
Lactation</t>
  </si>
  <si>
    <t>% DRI
&lt;19 years
Pregnancy</t>
  </si>
  <si>
    <t>DRI
&lt;19 years
Pregnancy</t>
  </si>
  <si>
    <t>Calories</t>
  </si>
  <si>
    <t>Carbohydrate, g</t>
  </si>
  <si>
    <r>
      <t>Vit D</t>
    </r>
    <r>
      <rPr>
        <b/>
        <vertAlign val="sub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, mcg</t>
    </r>
  </si>
  <si>
    <t>Folic Acid, mcg</t>
  </si>
  <si>
    <t>% DRI
1-3
 years</t>
  </si>
  <si>
    <t>% DRI
4-8
 years</t>
  </si>
  <si>
    <t>Approximate Free water, mL</t>
  </si>
  <si>
    <t>Potassium, mg</t>
  </si>
  <si>
    <r>
      <t xml:space="preserve">     Vit D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, IU</t>
    </r>
  </si>
  <si>
    <r>
      <t xml:space="preserve">&lt;-- Choose either </t>
    </r>
    <r>
      <rPr>
        <b/>
        <sz val="10"/>
        <color indexed="10"/>
        <rFont val="Arial"/>
        <family val="2"/>
      </rPr>
      <t>calories</t>
    </r>
    <r>
      <rPr>
        <sz val="10"/>
        <color indexed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grams of protein equivalent</t>
    </r>
    <r>
      <rPr>
        <sz val="10"/>
        <color indexed="10"/>
        <rFont val="Arial"/>
        <family val="2"/>
      </rPr>
      <t xml:space="preserve"> as the editable reference value for field B5 (if g PE, need to switch places of these two cells and adjust kcals to change based on g PE. </t>
    </r>
    <r>
      <rPr>
        <b/>
        <sz val="10"/>
        <color indexed="10"/>
        <rFont val="Arial"/>
        <family val="2"/>
      </rPr>
      <t>Don't forget to hide Row 4.</t>
    </r>
  </si>
  <si>
    <t>Hide row if no fiber content</t>
  </si>
  <si>
    <t>Hide row for powdered products</t>
  </si>
  <si>
    <t>Grams Protein Equivalent needed from formula</t>
  </si>
  <si>
    <t>DRI
0-6 months*</t>
  </si>
  <si>
    <t>% DRI
0-6
months*</t>
  </si>
  <si>
    <t>DRI 0-6 months*</t>
  </si>
  <si>
    <t>%DRI 0-6 months*</t>
  </si>
  <si>
    <t xml:space="preserve">AMINO ACIDS </t>
  </si>
  <si>
    <t>L-Alanine, g</t>
  </si>
  <si>
    <t>L-Arginine, g</t>
  </si>
  <si>
    <t>L-Asparagine, g</t>
  </si>
  <si>
    <t>L-Aspartic Acid, g</t>
  </si>
  <si>
    <t>L-Citrulline, g</t>
  </si>
  <si>
    <t>L-Cystine, g</t>
  </si>
  <si>
    <t>L-Glutamic Acid, g</t>
  </si>
  <si>
    <t>Glycine, g</t>
  </si>
  <si>
    <t>L-Histidine, g</t>
  </si>
  <si>
    <t>L-Isoleucine, g</t>
  </si>
  <si>
    <t>L-Leucine, g</t>
  </si>
  <si>
    <t>L-Lysine, g</t>
  </si>
  <si>
    <t>L-Methionine, g</t>
  </si>
  <si>
    <t>L-Phenylalanine, g</t>
  </si>
  <si>
    <t>L-Proline, g</t>
  </si>
  <si>
    <t>L-Serine, g</t>
  </si>
  <si>
    <t>Patient's Name:</t>
  </si>
  <si>
    <t>Nutricia North America</t>
  </si>
  <si>
    <t>DRI 1-3 year old</t>
  </si>
  <si>
    <t>% DRI 1-3 year old</t>
  </si>
  <si>
    <t>DRI 4-8 year old</t>
  </si>
  <si>
    <t>% DRI 4-8 year old</t>
  </si>
  <si>
    <t>DRI 9-13        year old (M)</t>
  </si>
  <si>
    <t>% DRI 9-13 year old (M)</t>
  </si>
  <si>
    <t>DRI 9-13 year old (F)</t>
  </si>
  <si>
    <t>% DRI 9-13 year old (F)</t>
  </si>
  <si>
    <t>DRI  14-18 yo (M)</t>
  </si>
  <si>
    <t>% DRI  14-18 yo (M)</t>
  </si>
  <si>
    <t>DRI  14-18 yo (F)</t>
  </si>
  <si>
    <t>% DRI  14-18 yo (F)</t>
  </si>
  <si>
    <t>DRI  19-30 yo (M)</t>
  </si>
  <si>
    <t>% DRI  19-30 yo (M)</t>
  </si>
  <si>
    <t>DRI  19-30 yo (F)</t>
  </si>
  <si>
    <t>% DRI  19-30 yo (F)</t>
  </si>
  <si>
    <t>DRI  31-50 yo (M)</t>
  </si>
  <si>
    <t>% DRI  31-50 yo (M)</t>
  </si>
  <si>
    <t>DRI  31-50 yo (F)</t>
  </si>
  <si>
    <t>% DRI  31-50 yo (F)</t>
  </si>
  <si>
    <t>DRI  51-70 yo (M)</t>
  </si>
  <si>
    <t>% DRI 51-70 yo (M)</t>
  </si>
  <si>
    <t>DRI  51-70 yo (F)</t>
  </si>
  <si>
    <t>% DRI  51-70 yo (F)</t>
  </si>
  <si>
    <t>DRI  &gt;70 yo (M)</t>
  </si>
  <si>
    <t>% DRI &gt;70 yo (M)</t>
  </si>
  <si>
    <t>DRI  &gt;70 yo (F)</t>
  </si>
  <si>
    <t>% DRI  &gt;70 yo (F)</t>
  </si>
  <si>
    <t>Fat, g</t>
  </si>
  <si>
    <t>VITAMINS</t>
  </si>
  <si>
    <t>Vit K, mcg</t>
  </si>
  <si>
    <t>Biotin, mcg</t>
  </si>
  <si>
    <t>Vit C, mg</t>
  </si>
  <si>
    <t>Choline, mg</t>
  </si>
  <si>
    <t>Inositol, mg</t>
  </si>
  <si>
    <t>N/A</t>
  </si>
  <si>
    <t xml:space="preserve">MINERALS </t>
  </si>
  <si>
    <t>Calcium, mg</t>
  </si>
  <si>
    <t>Phosphorus, mg</t>
  </si>
  <si>
    <t>Magnesium, mg</t>
  </si>
  <si>
    <t>Iron, mg</t>
  </si>
  <si>
    <t>Zinc, mg</t>
  </si>
  <si>
    <t>Manganese, mg</t>
  </si>
  <si>
    <t>Copper, mcg</t>
  </si>
  <si>
    <t>Iodine, mcg</t>
  </si>
  <si>
    <t>Molybdenum, mcg</t>
  </si>
  <si>
    <t>Chromium, mcg</t>
  </si>
  <si>
    <t>Selenium, mcg</t>
  </si>
  <si>
    <t>Sodium, mg</t>
  </si>
  <si>
    <t>Chloride, mg</t>
  </si>
  <si>
    <t>Vit A, mcg RE</t>
  </si>
  <si>
    <t>Vit E, mg α-TE</t>
  </si>
  <si>
    <t>DRI
1-3 years</t>
  </si>
  <si>
    <t>DRI 
4-8 years</t>
  </si>
  <si>
    <t>DRI 
9-13 years
(M)</t>
  </si>
  <si>
    <t>% DRI
9-13 years
(M)</t>
  </si>
  <si>
    <t>DRI 
9-13 years
(F)</t>
  </si>
  <si>
    <t>% DRI
9-13 years
(F)</t>
  </si>
  <si>
    <t>DRI
14-18 years
(M)</t>
  </si>
  <si>
    <t>% DRI
14-18 years
(M)</t>
  </si>
  <si>
    <t>DRI
14-18 years (F)</t>
  </si>
  <si>
    <t>% DRI
14-18 years
(F)</t>
  </si>
  <si>
    <t>DRI
19-30 years
(M)</t>
  </si>
  <si>
    <t>% DRI
19-30 years
(M)</t>
  </si>
  <si>
    <t>DRI
19-30 years
(F)</t>
  </si>
  <si>
    <t>% DRI
19-30 years
(F)</t>
  </si>
  <si>
    <t>DRI
31-50 years
(M)</t>
  </si>
  <si>
    <t>% DRI
31-50 years
(M)</t>
  </si>
  <si>
    <t>DRI
31-50 years
(F)</t>
  </si>
  <si>
    <t>% DRI
31-50 years
(F)</t>
  </si>
  <si>
    <t>DRI
51-70 years
(M)</t>
  </si>
  <si>
    <t>% DRI
51-70 years
(M)</t>
  </si>
  <si>
    <t>DRI
51-70 years
(F)</t>
  </si>
  <si>
    <t>% DRI
51-70 years
(F)</t>
  </si>
  <si>
    <t>DRI
&gt;70 years
(M)</t>
  </si>
  <si>
    <t>% DRI
&gt;70 years
(M)</t>
  </si>
  <si>
    <t>DRI
&gt;70 years
(F)</t>
  </si>
  <si>
    <t>% DRI
&gt;70 years
(F)</t>
  </si>
  <si>
    <r>
      <t>Thiamine B</t>
    </r>
    <r>
      <rPr>
        <b/>
        <vertAlign val="sub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mg</t>
    </r>
  </si>
  <si>
    <r>
      <t>Riboflavin B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, mg</t>
    </r>
  </si>
  <si>
    <r>
      <t>Vit B</t>
    </r>
    <r>
      <rPr>
        <b/>
        <vertAlign val="sub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, mg</t>
    </r>
  </si>
  <si>
    <r>
      <t>Vit B</t>
    </r>
    <r>
      <rPr>
        <b/>
        <vertAlign val="subscript"/>
        <sz val="10"/>
        <color indexed="8"/>
        <rFont val="Arial"/>
        <family val="2"/>
      </rPr>
      <t>12</t>
    </r>
    <r>
      <rPr>
        <b/>
        <sz val="10"/>
        <color indexed="8"/>
        <rFont val="Arial"/>
        <family val="2"/>
      </rPr>
      <t>, mcg</t>
    </r>
  </si>
  <si>
    <r>
      <t>Pantothenic Acid (B</t>
    </r>
    <r>
      <rPr>
        <b/>
        <vertAlign val="subscript"/>
        <sz val="10"/>
        <color indexed="8"/>
        <rFont val="Arial"/>
        <family val="2"/>
      </rPr>
      <t>5</t>
    </r>
    <r>
      <rPr>
        <b/>
        <sz val="10"/>
        <color indexed="8"/>
        <rFont val="Arial"/>
        <family val="2"/>
      </rPr>
      <t>), mg</t>
    </r>
  </si>
  <si>
    <t xml:space="preserve">   as LCT, g  (20%)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</si>
</sst>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;[Red]0.00"/>
    <numFmt numFmtId="167" formatCode="0.000;[Red]0.000"/>
    <numFmt numFmtId="168" formatCode="0.0;[Red]0.0"/>
    <numFmt numFmtId="169" formatCode="0;[Red]0"/>
    <numFmt numFmtId="170" formatCode="&quot;Last Updated&quot;\ m/d/yyyy"/>
    <numFmt numFmtId="171" formatCode="0.0&quot;†&quot;"/>
    <numFmt numFmtId="172" formatCode="0&quot;†&quot;"/>
  </numFmts>
  <fonts count="33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 Black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sz val="10"/>
      <color indexed="10"/>
      <name val="Arial"/>
      <family val="2"/>
    </font>
    <font>
      <sz val="12"/>
      <color indexed="8"/>
      <name val="Arial Black"/>
      <family val="2"/>
    </font>
    <font>
      <sz val="12"/>
      <name val="Arial"/>
      <family val="2"/>
    </font>
    <font>
      <sz val="12"/>
      <name val="Arial Black"/>
      <family val="2"/>
    </font>
    <font>
      <sz val="11.5"/>
      <name val="Calibri"/>
      <family val="2"/>
    </font>
    <font>
      <b/>
      <u val="single"/>
      <sz val="11.5"/>
      <name val="Calibri"/>
      <family val="2"/>
    </font>
    <font>
      <b/>
      <sz val="11.5"/>
      <name val="Calibri"/>
      <family val="2"/>
    </font>
    <font>
      <i/>
      <sz val="11.5"/>
      <name val="Calibri"/>
      <family val="2"/>
    </font>
    <font>
      <vertAlign val="subscript"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4"/>
      <name val="Calibri"/>
      <family val="2"/>
    </font>
    <font>
      <b/>
      <i/>
      <sz val="3"/>
      <color indexed="62"/>
      <name val="Arial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43"/>
      </patternFill>
    </fill>
    <fill>
      <patternFill patternType="solid">
        <fgColor indexed="43"/>
        <bgColor indexed="64"/>
      </patternFill>
    </fill>
    <fill>
      <patternFill patternType="lightGray">
        <fgColor indexed="22"/>
        <bgColor indexed="52"/>
      </patternFill>
    </fill>
    <fill>
      <patternFill patternType="solid">
        <fgColor indexed="13"/>
        <bgColor indexed="64"/>
      </patternFill>
    </fill>
    <fill>
      <patternFill patternType="lightGray">
        <fgColor indexed="22"/>
        <bgColor indexed="13"/>
      </patternFill>
    </fill>
    <fill>
      <patternFill patternType="lightGray">
        <fgColor indexed="22"/>
        <bgColor indexed="29"/>
      </patternFill>
    </fill>
    <fill>
      <patternFill patternType="solid">
        <fgColor indexed="40"/>
        <bgColor indexed="64"/>
      </patternFill>
    </fill>
    <fill>
      <patternFill patternType="lightGray">
        <fgColor indexed="22"/>
        <bgColor indexed="49"/>
      </patternFill>
    </fill>
    <fill>
      <patternFill patternType="lightGray">
        <fgColor indexed="22"/>
        <bgColor indexed="40"/>
      </patternFill>
    </fill>
    <fill>
      <patternFill patternType="lightGray">
        <fgColor indexed="22"/>
        <bgColor indexed="21"/>
      </patternFill>
    </fill>
    <fill>
      <patternFill patternType="solid">
        <fgColor indexed="52"/>
        <bgColor indexed="64"/>
      </patternFill>
    </fill>
    <fill>
      <patternFill patternType="lightGray">
        <fgColor indexed="22"/>
        <bgColor indexed="11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46"/>
      </patternFill>
    </fill>
    <fill>
      <patternFill patternType="solid">
        <fgColor indexed="46"/>
        <bgColor indexed="64"/>
      </patternFill>
    </fill>
  </fills>
  <borders count="10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>
        <color indexed="63"/>
      </left>
      <right style="thick"/>
      <top style="thin">
        <color indexed="8"/>
      </top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/>
      <top style="medium"/>
      <bottom style="thin">
        <color indexed="8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ck"/>
      <right style="thin"/>
      <top style="medium"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n">
        <color indexed="8"/>
      </top>
      <bottom style="thin">
        <color indexed="8"/>
      </bottom>
    </border>
    <border>
      <left style="thick"/>
      <right style="thin"/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ck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/>
      <top style="thin">
        <color indexed="8"/>
      </top>
      <bottom>
        <color indexed="63"/>
      </bottom>
    </border>
    <border>
      <left style="thin"/>
      <right style="thick"/>
      <top>
        <color indexed="63"/>
      </top>
      <bottom style="thin">
        <color indexed="8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2" borderId="1" xfId="0" applyFont="1" applyFill="1" applyBorder="1" applyAlignment="1" applyProtection="1">
      <alignment vertical="center" wrapText="1"/>
      <protection/>
    </xf>
    <xf numFmtId="0" fontId="6" fillId="3" borderId="2" xfId="0" applyFont="1" applyFill="1" applyBorder="1" applyAlignment="1" applyProtection="1">
      <alignment horizontal="center" vertical="center" wrapText="1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6" fillId="5" borderId="2" xfId="0" applyFont="1" applyFill="1" applyBorder="1" applyAlignment="1" applyProtection="1">
      <alignment horizontal="center" vertical="center" wrapText="1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6" fillId="5" borderId="2" xfId="0" applyFont="1" applyFill="1" applyBorder="1" applyAlignment="1" applyProtection="1">
      <alignment horizontal="center" vertical="center" wrapText="1"/>
      <protection/>
    </xf>
    <xf numFmtId="0" fontId="6" fillId="6" borderId="3" xfId="0" applyFont="1" applyFill="1" applyBorder="1" applyAlignment="1" applyProtection="1">
      <alignment horizontal="center" vertical="center" wrapText="1"/>
      <protection/>
    </xf>
    <xf numFmtId="0" fontId="6" fillId="7" borderId="2" xfId="0" applyFont="1" applyFill="1" applyBorder="1" applyAlignment="1" applyProtection="1">
      <alignment horizontal="center" vertical="center" wrapText="1"/>
      <protection/>
    </xf>
    <xf numFmtId="0" fontId="6" fillId="6" borderId="3" xfId="0" applyFont="1" applyFill="1" applyBorder="1" applyAlignment="1" applyProtection="1">
      <alignment horizontal="center" vertical="center" wrapText="1"/>
      <protection/>
    </xf>
    <xf numFmtId="0" fontId="6" fillId="6" borderId="3" xfId="0" applyFont="1" applyFill="1" applyBorder="1" applyAlignment="1" applyProtection="1">
      <alignment horizontal="center" vertical="center" wrapText="1"/>
      <protection/>
    </xf>
    <xf numFmtId="0" fontId="6" fillId="7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8" fillId="8" borderId="4" xfId="0" applyFont="1" applyFill="1" applyBorder="1" applyAlignment="1" applyProtection="1">
      <alignment horizontal="left"/>
      <protection/>
    </xf>
    <xf numFmtId="0" fontId="0" fillId="9" borderId="5" xfId="0" applyFill="1" applyBorder="1" applyAlignment="1" applyProtection="1">
      <alignment/>
      <protection/>
    </xf>
    <xf numFmtId="0" fontId="6" fillId="9" borderId="5" xfId="0" applyFont="1" applyFill="1" applyBorder="1" applyAlignment="1" applyProtection="1">
      <alignment/>
      <protection/>
    </xf>
    <xf numFmtId="164" fontId="9" fillId="10" borderId="6" xfId="0" applyNumberFormat="1" applyFont="1" applyFill="1" applyBorder="1" applyAlignment="1" applyProtection="1">
      <alignment/>
      <protection/>
    </xf>
    <xf numFmtId="1" fontId="9" fillId="10" borderId="6" xfId="0" applyNumberFormat="1" applyFont="1" applyFill="1" applyBorder="1" applyAlignment="1" applyProtection="1">
      <alignment/>
      <protection/>
    </xf>
    <xf numFmtId="0" fontId="6" fillId="10" borderId="5" xfId="0" applyFont="1" applyFill="1" applyBorder="1" applyAlignment="1" applyProtection="1">
      <alignment/>
      <protection/>
    </xf>
    <xf numFmtId="9" fontId="6" fillId="2" borderId="7" xfId="0" applyNumberFormat="1" applyFont="1" applyFill="1" applyBorder="1" applyAlignment="1" applyProtection="1">
      <alignment/>
      <protection/>
    </xf>
    <xf numFmtId="9" fontId="6" fillId="2" borderId="7" xfId="24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left"/>
      <protection/>
    </xf>
    <xf numFmtId="9" fontId="0" fillId="0" borderId="7" xfId="0" applyNumberFormat="1" applyFill="1" applyBorder="1" applyAlignment="1" applyProtection="1">
      <alignment/>
      <protection/>
    </xf>
    <xf numFmtId="9" fontId="6" fillId="0" borderId="7" xfId="24" applyFont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9" borderId="5" xfId="0" applyFont="1" applyFill="1" applyBorder="1" applyAlignment="1" applyProtection="1">
      <alignment/>
      <protection/>
    </xf>
    <xf numFmtId="9" fontId="0" fillId="0" borderId="7" xfId="24" applyFont="1" applyBorder="1" applyAlignment="1" applyProtection="1">
      <alignment/>
      <protection/>
    </xf>
    <xf numFmtId="0" fontId="6" fillId="11" borderId="2" xfId="0" applyFont="1" applyFill="1" applyBorder="1" applyAlignment="1" applyProtection="1">
      <alignment horizontal="center" wrapText="1"/>
      <protection/>
    </xf>
    <xf numFmtId="0" fontId="6" fillId="12" borderId="2" xfId="0" applyFont="1" applyFill="1" applyBorder="1" applyAlignment="1" applyProtection="1">
      <alignment horizontal="center" wrapText="1"/>
      <protection/>
    </xf>
    <xf numFmtId="0" fontId="6" fillId="12" borderId="2" xfId="0" applyFont="1" applyFill="1" applyBorder="1" applyAlignment="1" applyProtection="1">
      <alignment horizontal="center" wrapText="1"/>
      <protection/>
    </xf>
    <xf numFmtId="0" fontId="6" fillId="12" borderId="2" xfId="0" applyFont="1" applyFill="1" applyBorder="1" applyAlignment="1" applyProtection="1">
      <alignment horizontal="center" wrapText="1"/>
      <protection/>
    </xf>
    <xf numFmtId="0" fontId="6" fillId="12" borderId="2" xfId="0" applyFont="1" applyFill="1" applyBorder="1" applyAlignment="1" applyProtection="1">
      <alignment horizontal="center" wrapText="1"/>
      <protection/>
    </xf>
    <xf numFmtId="0" fontId="8" fillId="13" borderId="8" xfId="0" applyFont="1" applyFill="1" applyBorder="1" applyAlignment="1" applyProtection="1">
      <alignment horizontal="left"/>
      <protection/>
    </xf>
    <xf numFmtId="1" fontId="9" fillId="10" borderId="9" xfId="0" applyNumberFormat="1" applyFont="1" applyFill="1" applyBorder="1" applyAlignment="1" applyProtection="1">
      <alignment/>
      <protection/>
    </xf>
    <xf numFmtId="1" fontId="6" fillId="10" borderId="10" xfId="0" applyNumberFormat="1" applyFont="1" applyFill="1" applyBorder="1" applyAlignment="1" applyProtection="1">
      <alignment/>
      <protection/>
    </xf>
    <xf numFmtId="9" fontId="6" fillId="2" borderId="11" xfId="0" applyNumberFormat="1" applyFont="1" applyFill="1" applyBorder="1" applyAlignment="1" applyProtection="1">
      <alignment/>
      <protection/>
    </xf>
    <xf numFmtId="0" fontId="6" fillId="10" borderId="12" xfId="0" applyFont="1" applyFill="1" applyBorder="1" applyAlignment="1" applyProtection="1">
      <alignment/>
      <protection/>
    </xf>
    <xf numFmtId="9" fontId="6" fillId="2" borderId="13" xfId="24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9" fillId="4" borderId="6" xfId="0" applyNumberFormat="1" applyFont="1" applyFill="1" applyBorder="1" applyAlignment="1" applyProtection="1">
      <alignment/>
      <protection/>
    </xf>
    <xf numFmtId="1" fontId="6" fillId="9" borderId="5" xfId="0" applyNumberFormat="1" applyFont="1" applyFill="1" applyBorder="1" applyAlignment="1" applyProtection="1">
      <alignment/>
      <protection/>
    </xf>
    <xf numFmtId="9" fontId="6" fillId="0" borderId="7" xfId="0" applyNumberFormat="1" applyFont="1" applyBorder="1" applyAlignment="1" applyProtection="1">
      <alignment/>
      <protection/>
    </xf>
    <xf numFmtId="0" fontId="8" fillId="13" borderId="4" xfId="0" applyFont="1" applyFill="1" applyBorder="1" applyAlignment="1" applyProtection="1">
      <alignment horizontal="left"/>
      <protection/>
    </xf>
    <xf numFmtId="1" fontId="6" fillId="10" borderId="5" xfId="0" applyNumberFormat="1" applyFont="1" applyFill="1" applyBorder="1" applyAlignment="1" applyProtection="1">
      <alignment/>
      <protection/>
    </xf>
    <xf numFmtId="1" fontId="0" fillId="9" borderId="5" xfId="0" applyNumberFormat="1" applyFont="1" applyFill="1" applyBorder="1" applyAlignment="1" applyProtection="1">
      <alignment/>
      <protection/>
    </xf>
    <xf numFmtId="9" fontId="0" fillId="0" borderId="7" xfId="0" applyNumberFormat="1" applyFont="1" applyBorder="1" applyAlignment="1" applyProtection="1">
      <alignment/>
      <protection/>
    </xf>
    <xf numFmtId="164" fontId="6" fillId="10" borderId="5" xfId="0" applyNumberFormat="1" applyFont="1" applyFill="1" applyBorder="1" applyAlignment="1" applyProtection="1">
      <alignment/>
      <protection/>
    </xf>
    <xf numFmtId="164" fontId="9" fillId="4" borderId="6" xfId="0" applyNumberFormat="1" applyFont="1" applyFill="1" applyBorder="1" applyAlignment="1" applyProtection="1">
      <alignment/>
      <protection/>
    </xf>
    <xf numFmtId="164" fontId="6" fillId="9" borderId="5" xfId="0" applyNumberFormat="1" applyFont="1" applyFill="1" applyBorder="1" applyAlignment="1" applyProtection="1">
      <alignment/>
      <protection/>
    </xf>
    <xf numFmtId="1" fontId="0" fillId="10" borderId="5" xfId="0" applyNumberFormat="1" applyFill="1" applyBorder="1" applyAlignment="1" applyProtection="1">
      <alignment/>
      <protection/>
    </xf>
    <xf numFmtId="9" fontId="0" fillId="2" borderId="7" xfId="0" applyNumberFormat="1" applyFill="1" applyBorder="1" applyAlignment="1" applyProtection="1">
      <alignment/>
      <protection/>
    </xf>
    <xf numFmtId="0" fontId="0" fillId="10" borderId="5" xfId="0" applyFill="1" applyBorder="1" applyAlignment="1" applyProtection="1">
      <alignment/>
      <protection/>
    </xf>
    <xf numFmtId="9" fontId="0" fillId="2" borderId="7" xfId="24" applyFont="1" applyFill="1" applyBorder="1" applyAlignment="1" applyProtection="1">
      <alignment/>
      <protection/>
    </xf>
    <xf numFmtId="1" fontId="0" fillId="9" borderId="5" xfId="0" applyNumberFormat="1" applyFill="1" applyBorder="1" applyAlignment="1" applyProtection="1">
      <alignment/>
      <protection/>
    </xf>
    <xf numFmtId="9" fontId="0" fillId="0" borderId="7" xfId="0" applyNumberFormat="1" applyBorder="1" applyAlignment="1" applyProtection="1">
      <alignment/>
      <protection/>
    </xf>
    <xf numFmtId="9" fontId="0" fillId="0" borderId="7" xfId="24" applyFont="1" applyBorder="1" applyAlignment="1" applyProtection="1">
      <alignment/>
      <protection/>
    </xf>
    <xf numFmtId="1" fontId="9" fillId="4" borderId="14" xfId="0" applyNumberFormat="1" applyFont="1" applyFill="1" applyBorder="1" applyAlignment="1" applyProtection="1">
      <alignment/>
      <protection/>
    </xf>
    <xf numFmtId="0" fontId="8" fillId="13" borderId="15" xfId="0" applyFont="1" applyFill="1" applyBorder="1" applyAlignment="1" applyProtection="1">
      <alignment horizontal="left"/>
      <protection/>
    </xf>
    <xf numFmtId="164" fontId="9" fillId="10" borderId="16" xfId="0" applyNumberFormat="1" applyFont="1" applyFill="1" applyBorder="1" applyAlignment="1" applyProtection="1">
      <alignment horizontal="right"/>
      <protection/>
    </xf>
    <xf numFmtId="164" fontId="0" fillId="10" borderId="16" xfId="0" applyNumberFormat="1" applyFill="1" applyBorder="1" applyAlignment="1" applyProtection="1">
      <alignment horizontal="right"/>
      <protection/>
    </xf>
    <xf numFmtId="0" fontId="0" fillId="2" borderId="17" xfId="0" applyFill="1" applyBorder="1" applyAlignment="1" applyProtection="1">
      <alignment/>
      <protection/>
    </xf>
    <xf numFmtId="0" fontId="0" fillId="10" borderId="16" xfId="0" applyFill="1" applyBorder="1" applyAlignment="1" applyProtection="1">
      <alignment horizontal="right"/>
      <protection/>
    </xf>
    <xf numFmtId="9" fontId="0" fillId="2" borderId="17" xfId="24" applyFont="1" applyFill="1" applyBorder="1" applyAlignment="1" applyProtection="1">
      <alignment/>
      <protection/>
    </xf>
    <xf numFmtId="9" fontId="6" fillId="11" borderId="2" xfId="24" applyFont="1" applyFill="1" applyBorder="1" applyAlignment="1" applyProtection="1">
      <alignment horizontal="center" vertical="justify"/>
      <protection/>
    </xf>
    <xf numFmtId="169" fontId="9" fillId="10" borderId="9" xfId="0" applyNumberFormat="1" applyFont="1" applyFill="1" applyBorder="1" applyAlignment="1" applyProtection="1">
      <alignment/>
      <protection/>
    </xf>
    <xf numFmtId="1" fontId="6" fillId="10" borderId="12" xfId="0" applyNumberFormat="1" applyFont="1" applyFill="1" applyBorder="1" applyAlignment="1" applyProtection="1">
      <alignment/>
      <protection/>
    </xf>
    <xf numFmtId="9" fontId="6" fillId="2" borderId="13" xfId="0" applyNumberFormat="1" applyFont="1" applyFill="1" applyBorder="1" applyAlignment="1" applyProtection="1">
      <alignment/>
      <protection/>
    </xf>
    <xf numFmtId="169" fontId="9" fillId="4" borderId="6" xfId="0" applyNumberFormat="1" applyFont="1" applyFill="1" applyBorder="1" applyAlignment="1" applyProtection="1">
      <alignment/>
      <protection/>
    </xf>
    <xf numFmtId="9" fontId="6" fillId="0" borderId="13" xfId="0" applyNumberFormat="1" applyFont="1" applyBorder="1" applyAlignment="1" applyProtection="1">
      <alignment/>
      <protection/>
    </xf>
    <xf numFmtId="169" fontId="9" fillId="10" borderId="6" xfId="0" applyNumberFormat="1" applyFont="1" applyFill="1" applyBorder="1" applyAlignment="1" applyProtection="1">
      <alignment/>
      <protection/>
    </xf>
    <xf numFmtId="166" fontId="9" fillId="4" borderId="6" xfId="0" applyNumberFormat="1" applyFont="1" applyFill="1" applyBorder="1" applyAlignment="1" applyProtection="1">
      <alignment/>
      <protection/>
    </xf>
    <xf numFmtId="167" fontId="9" fillId="4" borderId="6" xfId="0" applyNumberFormat="1" applyFont="1" applyFill="1" applyBorder="1" applyAlignment="1" applyProtection="1">
      <alignment/>
      <protection/>
    </xf>
    <xf numFmtId="168" fontId="9" fillId="4" borderId="6" xfId="0" applyNumberFormat="1" applyFont="1" applyFill="1" applyBorder="1" applyAlignment="1" applyProtection="1">
      <alignment/>
      <protection/>
    </xf>
    <xf numFmtId="164" fontId="0" fillId="9" borderId="5" xfId="0" applyNumberFormat="1" applyFill="1" applyBorder="1" applyAlignment="1" applyProtection="1">
      <alignment/>
      <protection/>
    </xf>
    <xf numFmtId="9" fontId="0" fillId="0" borderId="13" xfId="0" applyNumberFormat="1" applyBorder="1" applyAlignment="1" applyProtection="1">
      <alignment/>
      <protection/>
    </xf>
    <xf numFmtId="169" fontId="9" fillId="10" borderId="14" xfId="0" applyNumberFormat="1" applyFont="1" applyFill="1" applyBorder="1" applyAlignment="1" applyProtection="1">
      <alignment/>
      <protection/>
    </xf>
    <xf numFmtId="169" fontId="9" fillId="4" borderId="5" xfId="0" applyNumberFormat="1" applyFont="1" applyFill="1" applyBorder="1" applyAlignment="1" applyProtection="1">
      <alignment/>
      <protection/>
    </xf>
    <xf numFmtId="169" fontId="9" fillId="10" borderId="5" xfId="0" applyNumberFormat="1" applyFont="1" applyFill="1" applyBorder="1" applyAlignment="1" applyProtection="1">
      <alignment/>
      <protection/>
    </xf>
    <xf numFmtId="9" fontId="0" fillId="2" borderId="13" xfId="0" applyNumberFormat="1" applyFill="1" applyBorder="1" applyAlignment="1" applyProtection="1">
      <alignment/>
      <protection/>
    </xf>
    <xf numFmtId="0" fontId="8" fillId="8" borderId="18" xfId="0" applyFont="1" applyFill="1" applyBorder="1" applyAlignment="1" applyProtection="1">
      <alignment horizontal="left"/>
      <protection/>
    </xf>
    <xf numFmtId="169" fontId="9" fillId="4" borderId="19" xfId="0" applyNumberFormat="1" applyFont="1" applyFill="1" applyBorder="1" applyAlignment="1" applyProtection="1">
      <alignment/>
      <protection/>
    </xf>
    <xf numFmtId="1" fontId="0" fillId="9" borderId="19" xfId="0" applyNumberFormat="1" applyFill="1" applyBorder="1" applyAlignment="1" applyProtection="1">
      <alignment/>
      <protection/>
    </xf>
    <xf numFmtId="9" fontId="0" fillId="0" borderId="20" xfId="0" applyNumberFormat="1" applyBorder="1" applyAlignment="1" applyProtection="1">
      <alignment/>
      <protection/>
    </xf>
    <xf numFmtId="0" fontId="0" fillId="9" borderId="19" xfId="0" applyFill="1" applyBorder="1" applyAlignment="1" applyProtection="1">
      <alignment/>
      <protection/>
    </xf>
    <xf numFmtId="9" fontId="0" fillId="0" borderId="21" xfId="24" applyFont="1" applyBorder="1" applyAlignment="1" applyProtection="1">
      <alignment/>
      <protection/>
    </xf>
    <xf numFmtId="1" fontId="9" fillId="9" borderId="5" xfId="0" applyNumberFormat="1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left"/>
      <protection/>
    </xf>
    <xf numFmtId="0" fontId="8" fillId="5" borderId="6" xfId="0" applyFont="1" applyFill="1" applyBorder="1" applyAlignment="1" applyProtection="1">
      <alignment horizontal="left"/>
      <protection/>
    </xf>
    <xf numFmtId="9" fontId="0" fillId="5" borderId="7" xfId="0" applyNumberFormat="1" applyFill="1" applyBorder="1" applyAlignment="1" applyProtection="1">
      <alignment/>
      <protection/>
    </xf>
    <xf numFmtId="9" fontId="0" fillId="5" borderId="7" xfId="24" applyFont="1" applyFill="1" applyBorder="1" applyAlignment="1" applyProtection="1">
      <alignment/>
      <protection/>
    </xf>
    <xf numFmtId="0" fontId="0" fillId="5" borderId="5" xfId="0" applyFont="1" applyFill="1" applyBorder="1" applyAlignment="1" applyProtection="1">
      <alignment horizontal="left"/>
      <protection/>
    </xf>
    <xf numFmtId="1" fontId="9" fillId="5" borderId="5" xfId="0" applyNumberFormat="1" applyFont="1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6" fillId="5" borderId="5" xfId="0" applyFont="1" applyFill="1" applyBorder="1" applyAlignment="1" applyProtection="1">
      <alignment/>
      <protection/>
    </xf>
    <xf numFmtId="9" fontId="6" fillId="5" borderId="7" xfId="24" applyFont="1" applyFill="1" applyBorder="1" applyAlignment="1" applyProtection="1">
      <alignment/>
      <protection/>
    </xf>
    <xf numFmtId="0" fontId="6" fillId="5" borderId="7" xfId="0" applyFont="1" applyFill="1" applyBorder="1" applyAlignment="1" applyProtection="1">
      <alignment/>
      <protection/>
    </xf>
    <xf numFmtId="0" fontId="8" fillId="13" borderId="22" xfId="0" applyFont="1" applyFill="1" applyBorder="1" applyAlignment="1" applyProtection="1">
      <alignment horizontal="left"/>
      <protection/>
    </xf>
    <xf numFmtId="164" fontId="9" fillId="10" borderId="5" xfId="0" applyNumberFormat="1" applyFont="1" applyFill="1" applyBorder="1" applyAlignment="1" applyProtection="1">
      <alignment/>
      <protection/>
    </xf>
    <xf numFmtId="0" fontId="0" fillId="4" borderId="23" xfId="0" applyFont="1" applyFill="1" applyBorder="1" applyAlignment="1" applyProtection="1">
      <alignment/>
      <protection/>
    </xf>
    <xf numFmtId="9" fontId="0" fillId="5" borderId="24" xfId="0" applyNumberFormat="1" applyFont="1" applyFill="1" applyBorder="1" applyAlignment="1" applyProtection="1">
      <alignment/>
      <protection/>
    </xf>
    <xf numFmtId="9" fontId="0" fillId="5" borderId="24" xfId="24" applyFont="1" applyFill="1" applyBorder="1" applyAlignment="1" applyProtection="1">
      <alignment/>
      <protection/>
    </xf>
    <xf numFmtId="164" fontId="15" fillId="11" borderId="1" xfId="0" applyNumberFormat="1" applyFont="1" applyFill="1" applyBorder="1" applyAlignment="1" applyProtection="1">
      <alignment horizontal="center" vertical="center"/>
      <protection locked="0"/>
    </xf>
    <xf numFmtId="0" fontId="6" fillId="14" borderId="3" xfId="0" applyFont="1" applyFill="1" applyBorder="1" applyAlignment="1" applyProtection="1">
      <alignment horizontal="center" vertical="center" wrapText="1"/>
      <protection/>
    </xf>
    <xf numFmtId="0" fontId="6" fillId="15" borderId="2" xfId="0" applyFont="1" applyFill="1" applyBorder="1" applyAlignment="1" applyProtection="1">
      <alignment horizontal="center" vertical="center" wrapText="1"/>
      <protection/>
    </xf>
    <xf numFmtId="0" fontId="6" fillId="16" borderId="3" xfId="0" applyFont="1" applyFill="1" applyBorder="1" applyAlignment="1" applyProtection="1">
      <alignment horizontal="center" vertical="center" wrapText="1"/>
      <protection/>
    </xf>
    <xf numFmtId="0" fontId="6" fillId="15" borderId="2" xfId="0" applyFont="1" applyFill="1" applyBorder="1" applyAlignment="1" applyProtection="1">
      <alignment horizontal="center" vertical="center" wrapText="1"/>
      <protection/>
    </xf>
    <xf numFmtId="0" fontId="6" fillId="14" borderId="3" xfId="0" applyFont="1" applyFill="1" applyBorder="1" applyAlignment="1" applyProtection="1">
      <alignment horizontal="center" vertical="center" wrapText="1"/>
      <protection/>
    </xf>
    <xf numFmtId="0" fontId="6" fillId="17" borderId="2" xfId="0" applyFont="1" applyFill="1" applyBorder="1" applyAlignment="1" applyProtection="1">
      <alignment horizontal="center" vertical="center" wrapText="1"/>
      <protection/>
    </xf>
    <xf numFmtId="0" fontId="6" fillId="18" borderId="3" xfId="0" applyFont="1" applyFill="1" applyBorder="1" applyAlignment="1" applyProtection="1">
      <alignment horizontal="center" vertical="center" wrapText="1"/>
      <protection/>
    </xf>
    <xf numFmtId="0" fontId="6" fillId="19" borderId="3" xfId="0" applyFont="1" applyFill="1" applyBorder="1" applyAlignment="1" applyProtection="1">
      <alignment horizontal="center" vertical="center" wrapText="1"/>
      <protection/>
    </xf>
    <xf numFmtId="0" fontId="6" fillId="19" borderId="3" xfId="0" applyFont="1" applyFill="1" applyBorder="1" applyAlignment="1" applyProtection="1">
      <alignment horizontal="center" vertical="center" wrapText="1"/>
      <protection/>
    </xf>
    <xf numFmtId="0" fontId="6" fillId="20" borderId="25" xfId="0" applyFont="1" applyFill="1" applyBorder="1" applyAlignment="1" applyProtection="1">
      <alignment horizontal="center" vertical="center" wrapText="1"/>
      <protection/>
    </xf>
    <xf numFmtId="9" fontId="8" fillId="13" borderId="26" xfId="0" applyNumberFormat="1" applyFont="1" applyFill="1" applyBorder="1" applyAlignment="1" applyProtection="1">
      <alignment/>
      <protection/>
    </xf>
    <xf numFmtId="9" fontId="8" fillId="0" borderId="27" xfId="0" applyNumberFormat="1" applyFont="1" applyFill="1" applyBorder="1" applyAlignment="1" applyProtection="1">
      <alignment/>
      <protection/>
    </xf>
    <xf numFmtId="9" fontId="8" fillId="5" borderId="27" xfId="0" applyNumberFormat="1" applyFont="1" applyFill="1" applyBorder="1" applyAlignment="1" applyProtection="1">
      <alignment/>
      <protection/>
    </xf>
    <xf numFmtId="9" fontId="8" fillId="13" borderId="27" xfId="0" applyNumberFormat="1" applyFont="1" applyFill="1" applyBorder="1" applyAlignment="1" applyProtection="1">
      <alignment/>
      <protection/>
    </xf>
    <xf numFmtId="9" fontId="8" fillId="13" borderId="28" xfId="0" applyNumberFormat="1" applyFont="1" applyFill="1" applyBorder="1" applyAlignment="1" applyProtection="1">
      <alignment/>
      <protection/>
    </xf>
    <xf numFmtId="9" fontId="8" fillId="8" borderId="29" xfId="0" applyNumberFormat="1" applyFont="1" applyFill="1" applyBorder="1" applyAlignment="1" applyProtection="1">
      <alignment/>
      <protection/>
    </xf>
    <xf numFmtId="9" fontId="8" fillId="13" borderId="29" xfId="0" applyNumberFormat="1" applyFont="1" applyFill="1" applyBorder="1" applyAlignment="1" applyProtection="1">
      <alignment/>
      <protection/>
    </xf>
    <xf numFmtId="9" fontId="9" fillId="8" borderId="29" xfId="0" applyNumberFormat="1" applyFont="1" applyFill="1" applyBorder="1" applyAlignment="1" applyProtection="1">
      <alignment/>
      <protection/>
    </xf>
    <xf numFmtId="9" fontId="9" fillId="13" borderId="29" xfId="0" applyNumberFormat="1" applyFont="1" applyFill="1" applyBorder="1" applyAlignment="1" applyProtection="1">
      <alignment/>
      <protection/>
    </xf>
    <xf numFmtId="9" fontId="9" fillId="8" borderId="29" xfId="0" applyNumberFormat="1" applyFont="1" applyFill="1" applyBorder="1" applyAlignment="1" applyProtection="1">
      <alignment/>
      <protection/>
    </xf>
    <xf numFmtId="9" fontId="9" fillId="8" borderId="26" xfId="0" applyNumberFormat="1" applyFont="1" applyFill="1" applyBorder="1" applyAlignment="1" applyProtection="1">
      <alignment/>
      <protection/>
    </xf>
    <xf numFmtId="9" fontId="9" fillId="13" borderId="30" xfId="0" applyNumberFormat="1" applyFont="1" applyFill="1" applyBorder="1" applyAlignment="1" applyProtection="1">
      <alignment horizontal="right"/>
      <protection/>
    </xf>
    <xf numFmtId="9" fontId="9" fillId="8" borderId="27" xfId="0" applyNumberFormat="1" applyFont="1" applyFill="1" applyBorder="1" applyAlignment="1" applyProtection="1">
      <alignment horizontal="right"/>
      <protection/>
    </xf>
    <xf numFmtId="9" fontId="9" fillId="13" borderId="30" xfId="0" applyNumberFormat="1" applyFont="1" applyFill="1" applyBorder="1" applyAlignment="1" applyProtection="1">
      <alignment horizontal="right"/>
      <protection/>
    </xf>
    <xf numFmtId="9" fontId="9" fillId="8" borderId="31" xfId="0" applyNumberFormat="1" applyFont="1" applyFill="1" applyBorder="1" applyAlignment="1" applyProtection="1">
      <alignment horizontal="right"/>
      <protection/>
    </xf>
    <xf numFmtId="0" fontId="6" fillId="21" borderId="32" xfId="0" applyFont="1" applyFill="1" applyBorder="1" applyAlignment="1" applyProtection="1">
      <alignment horizontal="center" vertical="center" wrapText="1"/>
      <protection/>
    </xf>
    <xf numFmtId="0" fontId="0" fillId="9" borderId="33" xfId="0" applyFill="1" applyBorder="1" applyAlignment="1" applyProtection="1">
      <alignment/>
      <protection/>
    </xf>
    <xf numFmtId="0" fontId="6" fillId="10" borderId="33" xfId="0" applyFont="1" applyFill="1" applyBorder="1" applyAlignment="1" applyProtection="1">
      <alignment/>
      <protection/>
    </xf>
    <xf numFmtId="0" fontId="0" fillId="5" borderId="33" xfId="0" applyFill="1" applyBorder="1" applyAlignment="1" applyProtection="1">
      <alignment/>
      <protection/>
    </xf>
    <xf numFmtId="0" fontId="0" fillId="4" borderId="34" xfId="0" applyFont="1" applyFill="1" applyBorder="1" applyAlignment="1" applyProtection="1">
      <alignment/>
      <protection/>
    </xf>
    <xf numFmtId="1" fontId="6" fillId="10" borderId="35" xfId="0" applyNumberFormat="1" applyFont="1" applyFill="1" applyBorder="1" applyAlignment="1" applyProtection="1">
      <alignment/>
      <protection/>
    </xf>
    <xf numFmtId="1" fontId="6" fillId="9" borderId="33" xfId="0" applyNumberFormat="1" applyFont="1" applyFill="1" applyBorder="1" applyAlignment="1" applyProtection="1">
      <alignment/>
      <protection/>
    </xf>
    <xf numFmtId="1" fontId="6" fillId="10" borderId="33" xfId="0" applyNumberFormat="1" applyFont="1" applyFill="1" applyBorder="1" applyAlignment="1" applyProtection="1">
      <alignment/>
      <protection/>
    </xf>
    <xf numFmtId="1" fontId="0" fillId="9" borderId="33" xfId="0" applyNumberFormat="1" applyFont="1" applyFill="1" applyBorder="1" applyAlignment="1" applyProtection="1">
      <alignment/>
      <protection/>
    </xf>
    <xf numFmtId="164" fontId="6" fillId="10" borderId="33" xfId="0" applyNumberFormat="1" applyFont="1" applyFill="1" applyBorder="1" applyAlignment="1" applyProtection="1">
      <alignment/>
      <protection/>
    </xf>
    <xf numFmtId="164" fontId="6" fillId="9" borderId="33" xfId="0" applyNumberFormat="1" applyFont="1" applyFill="1" applyBorder="1" applyAlignment="1" applyProtection="1">
      <alignment/>
      <protection/>
    </xf>
    <xf numFmtId="1" fontId="0" fillId="10" borderId="33" xfId="0" applyNumberFormat="1" applyFill="1" applyBorder="1" applyAlignment="1" applyProtection="1">
      <alignment/>
      <protection/>
    </xf>
    <xf numFmtId="1" fontId="0" fillId="9" borderId="33" xfId="0" applyNumberFormat="1" applyFill="1" applyBorder="1" applyAlignment="1" applyProtection="1">
      <alignment/>
      <protection/>
    </xf>
    <xf numFmtId="164" fontId="0" fillId="10" borderId="36" xfId="0" applyNumberFormat="1" applyFill="1" applyBorder="1" applyAlignment="1" applyProtection="1">
      <alignment horizontal="right"/>
      <protection/>
    </xf>
    <xf numFmtId="1" fontId="6" fillId="10" borderId="37" xfId="0" applyNumberFormat="1" applyFont="1" applyFill="1" applyBorder="1" applyAlignment="1" applyProtection="1">
      <alignment/>
      <protection/>
    </xf>
    <xf numFmtId="164" fontId="0" fillId="9" borderId="33" xfId="0" applyNumberFormat="1" applyFill="1" applyBorder="1" applyAlignment="1" applyProtection="1">
      <alignment/>
      <protection/>
    </xf>
    <xf numFmtId="1" fontId="0" fillId="9" borderId="38" xfId="0" applyNumberFormat="1" applyFill="1" applyBorder="1" applyAlignment="1" applyProtection="1">
      <alignment/>
      <protection/>
    </xf>
    <xf numFmtId="0" fontId="6" fillId="22" borderId="39" xfId="0" applyFont="1" applyFill="1" applyBorder="1" applyAlignment="1" applyProtection="1">
      <alignment horizontal="center" vertical="center" wrapText="1"/>
      <protection/>
    </xf>
    <xf numFmtId="0" fontId="8" fillId="20" borderId="40" xfId="0" applyFont="1" applyFill="1" applyBorder="1" applyAlignment="1" applyProtection="1">
      <alignment horizontal="center" vertical="center" wrapText="1"/>
      <protection/>
    </xf>
    <xf numFmtId="0" fontId="9" fillId="4" borderId="41" xfId="0" applyFont="1" applyFill="1" applyBorder="1" applyAlignment="1" applyProtection="1">
      <alignment/>
      <protection/>
    </xf>
    <xf numFmtId="0" fontId="8" fillId="10" borderId="42" xfId="0" applyFont="1" applyFill="1" applyBorder="1" applyAlignment="1" applyProtection="1">
      <alignment/>
      <protection/>
    </xf>
    <xf numFmtId="9" fontId="8" fillId="13" borderId="43" xfId="0" applyNumberFormat="1" applyFont="1" applyFill="1" applyBorder="1" applyAlignment="1" applyProtection="1">
      <alignment/>
      <protection/>
    </xf>
    <xf numFmtId="0" fontId="9" fillId="9" borderId="44" xfId="0" applyFont="1" applyFill="1" applyBorder="1" applyAlignment="1" applyProtection="1">
      <alignment/>
      <protection/>
    </xf>
    <xf numFmtId="9" fontId="9" fillId="0" borderId="43" xfId="0" applyNumberFormat="1" applyFont="1" applyFill="1" applyBorder="1" applyAlignment="1" applyProtection="1">
      <alignment/>
      <protection/>
    </xf>
    <xf numFmtId="0" fontId="9" fillId="5" borderId="44" xfId="0" applyFont="1" applyFill="1" applyBorder="1" applyAlignment="1" applyProtection="1">
      <alignment/>
      <protection/>
    </xf>
    <xf numFmtId="9" fontId="9" fillId="5" borderId="43" xfId="0" applyNumberFormat="1" applyFont="1" applyFill="1" applyBorder="1" applyAlignment="1" applyProtection="1">
      <alignment/>
      <protection/>
    </xf>
    <xf numFmtId="0" fontId="8" fillId="10" borderId="45" xfId="0" applyFont="1" applyFill="1" applyBorder="1" applyAlignment="1" applyProtection="1">
      <alignment/>
      <protection/>
    </xf>
    <xf numFmtId="9" fontId="8" fillId="13" borderId="46" xfId="0" applyNumberFormat="1" applyFont="1" applyFill="1" applyBorder="1" applyAlignment="1" applyProtection="1">
      <alignment/>
      <protection/>
    </xf>
    <xf numFmtId="0" fontId="8" fillId="10" borderId="47" xfId="23" applyFont="1" applyFill="1" applyBorder="1" applyAlignment="1" applyProtection="1">
      <alignment/>
      <protection/>
    </xf>
    <xf numFmtId="9" fontId="8" fillId="13" borderId="48" xfId="0" applyNumberFormat="1" applyFont="1" applyFill="1" applyBorder="1" applyAlignment="1" applyProtection="1">
      <alignment/>
      <protection/>
    </xf>
    <xf numFmtId="0" fontId="8" fillId="9" borderId="41" xfId="23" applyFont="1" applyFill="1" applyBorder="1" applyAlignment="1" applyProtection="1">
      <alignment/>
      <protection/>
    </xf>
    <xf numFmtId="9" fontId="8" fillId="8" borderId="43" xfId="0" applyNumberFormat="1" applyFont="1" applyFill="1" applyBorder="1" applyAlignment="1" applyProtection="1">
      <alignment/>
      <protection/>
    </xf>
    <xf numFmtId="0" fontId="8" fillId="10" borderId="41" xfId="23" applyFont="1" applyFill="1" applyBorder="1" applyAlignment="1" applyProtection="1">
      <alignment/>
      <protection/>
    </xf>
    <xf numFmtId="0" fontId="9" fillId="9" borderId="41" xfId="23" applyFont="1" applyFill="1" applyBorder="1" applyAlignment="1" applyProtection="1">
      <alignment/>
      <protection/>
    </xf>
    <xf numFmtId="9" fontId="9" fillId="8" borderId="43" xfId="0" applyNumberFormat="1" applyFont="1" applyFill="1" applyBorder="1" applyAlignment="1" applyProtection="1">
      <alignment/>
      <protection/>
    </xf>
    <xf numFmtId="0" fontId="9" fillId="10" borderId="41" xfId="23" applyFont="1" applyFill="1" applyBorder="1" applyAlignment="1" applyProtection="1">
      <alignment/>
      <protection/>
    </xf>
    <xf numFmtId="9" fontId="9" fillId="13" borderId="43" xfId="0" applyNumberFormat="1" applyFont="1" applyFill="1" applyBorder="1" applyAlignment="1" applyProtection="1">
      <alignment/>
      <protection/>
    </xf>
    <xf numFmtId="9" fontId="9" fillId="8" borderId="43" xfId="0" applyNumberFormat="1" applyFont="1" applyFill="1" applyBorder="1" applyAlignment="1" applyProtection="1">
      <alignment/>
      <protection/>
    </xf>
    <xf numFmtId="0" fontId="9" fillId="9" borderId="42" xfId="23" applyFont="1" applyFill="1" applyBorder="1" applyAlignment="1" applyProtection="1">
      <alignment/>
      <protection/>
    </xf>
    <xf numFmtId="9" fontId="9" fillId="8" borderId="49" xfId="0" applyNumberFormat="1" applyFont="1" applyFill="1" applyBorder="1" applyAlignment="1" applyProtection="1">
      <alignment/>
      <protection/>
    </xf>
    <xf numFmtId="0" fontId="9" fillId="10" borderId="50" xfId="0" applyFont="1" applyFill="1" applyBorder="1" applyAlignment="1" applyProtection="1">
      <alignment horizontal="right"/>
      <protection/>
    </xf>
    <xf numFmtId="9" fontId="9" fillId="13" borderId="51" xfId="0" applyNumberFormat="1" applyFont="1" applyFill="1" applyBorder="1" applyAlignment="1" applyProtection="1">
      <alignment horizontal="right"/>
      <protection/>
    </xf>
    <xf numFmtId="0" fontId="8" fillId="10" borderId="47" xfId="0" applyFont="1" applyFill="1" applyBorder="1" applyAlignment="1" applyProtection="1">
      <alignment/>
      <protection/>
    </xf>
    <xf numFmtId="9" fontId="8" fillId="13" borderId="52" xfId="0" applyNumberFormat="1" applyFont="1" applyFill="1" applyBorder="1" applyAlignment="1" applyProtection="1">
      <alignment/>
      <protection/>
    </xf>
    <xf numFmtId="0" fontId="8" fillId="4" borderId="41" xfId="0" applyFont="1" applyFill="1" applyBorder="1" applyAlignment="1" applyProtection="1">
      <alignment/>
      <protection/>
    </xf>
    <xf numFmtId="0" fontId="8" fillId="10" borderId="41" xfId="0" applyFont="1" applyFill="1" applyBorder="1" applyAlignment="1" applyProtection="1">
      <alignment/>
      <protection/>
    </xf>
    <xf numFmtId="0" fontId="9" fillId="4" borderId="41" xfId="0" applyFont="1" applyFill="1" applyBorder="1" applyAlignment="1" applyProtection="1">
      <alignment/>
      <protection/>
    </xf>
    <xf numFmtId="9" fontId="8" fillId="13" borderId="49" xfId="0" applyNumberFormat="1" applyFont="1" applyFill="1" applyBorder="1" applyAlignment="1" applyProtection="1">
      <alignment/>
      <protection/>
    </xf>
    <xf numFmtId="0" fontId="9" fillId="4" borderId="44" xfId="0" applyFont="1" applyFill="1" applyBorder="1" applyAlignment="1" applyProtection="1">
      <alignment horizontal="right"/>
      <protection/>
    </xf>
    <xf numFmtId="9" fontId="9" fillId="8" borderId="53" xfId="0" applyNumberFormat="1" applyFont="1" applyFill="1" applyBorder="1" applyAlignment="1" applyProtection="1">
      <alignment horizontal="right"/>
      <protection/>
    </xf>
    <xf numFmtId="0" fontId="9" fillId="10" borderId="50" xfId="0" applyFont="1" applyFill="1" applyBorder="1" applyAlignment="1" applyProtection="1">
      <alignment horizontal="right"/>
      <protection/>
    </xf>
    <xf numFmtId="9" fontId="9" fillId="13" borderId="51" xfId="0" applyNumberFormat="1" applyFont="1" applyFill="1" applyBorder="1" applyAlignment="1" applyProtection="1">
      <alignment horizontal="right"/>
      <protection/>
    </xf>
    <xf numFmtId="0" fontId="9" fillId="4" borderId="54" xfId="0" applyFont="1" applyFill="1" applyBorder="1" applyAlignment="1" applyProtection="1">
      <alignment horizontal="right"/>
      <protection/>
    </xf>
    <xf numFmtId="9" fontId="9" fillId="8" borderId="55" xfId="0" applyNumberFormat="1" applyFont="1" applyFill="1" applyBorder="1" applyAlignment="1" applyProtection="1">
      <alignment horizontal="right"/>
      <protection/>
    </xf>
    <xf numFmtId="0" fontId="6" fillId="5" borderId="25" xfId="0" applyFont="1" applyFill="1" applyBorder="1" applyAlignment="1" applyProtection="1">
      <alignment horizontal="center" vertical="center" wrapText="1"/>
      <protection/>
    </xf>
    <xf numFmtId="9" fontId="6" fillId="2" borderId="27" xfId="0" applyNumberFormat="1" applyFont="1" applyFill="1" applyBorder="1" applyAlignment="1" applyProtection="1">
      <alignment/>
      <protection/>
    </xf>
    <xf numFmtId="9" fontId="0" fillId="0" borderId="27" xfId="0" applyNumberFormat="1" applyFill="1" applyBorder="1" applyAlignment="1" applyProtection="1">
      <alignment/>
      <protection/>
    </xf>
    <xf numFmtId="9" fontId="0" fillId="5" borderId="27" xfId="0" applyNumberFormat="1" applyFill="1" applyBorder="1" applyAlignment="1" applyProtection="1">
      <alignment/>
      <protection/>
    </xf>
    <xf numFmtId="9" fontId="0" fillId="5" borderId="56" xfId="0" applyNumberFormat="1" applyFont="1" applyFill="1" applyBorder="1" applyAlignment="1" applyProtection="1">
      <alignment/>
      <protection/>
    </xf>
    <xf numFmtId="9" fontId="6" fillId="2" borderId="57" xfId="0" applyNumberFormat="1" applyFont="1" applyFill="1" applyBorder="1" applyAlignment="1" applyProtection="1">
      <alignment/>
      <protection/>
    </xf>
    <xf numFmtId="9" fontId="6" fillId="0" borderId="27" xfId="0" applyNumberFormat="1" applyFont="1" applyBorder="1" applyAlignment="1" applyProtection="1">
      <alignment/>
      <protection/>
    </xf>
    <xf numFmtId="9" fontId="0" fillId="0" borderId="27" xfId="0" applyNumberFormat="1" applyFont="1" applyBorder="1" applyAlignment="1" applyProtection="1">
      <alignment/>
      <protection/>
    </xf>
    <xf numFmtId="9" fontId="0" fillId="2" borderId="27" xfId="0" applyNumberFormat="1" applyFill="1" applyBorder="1" applyAlignment="1" applyProtection="1">
      <alignment/>
      <protection/>
    </xf>
    <xf numFmtId="9" fontId="0" fillId="0" borderId="27" xfId="0" applyNumberFormat="1" applyBorder="1" applyAlignment="1" applyProtection="1">
      <alignment/>
      <protection/>
    </xf>
    <xf numFmtId="0" fontId="0" fillId="2" borderId="30" xfId="0" applyFill="1" applyBorder="1" applyAlignment="1" applyProtection="1">
      <alignment/>
      <protection/>
    </xf>
    <xf numFmtId="9" fontId="6" fillId="2" borderId="58" xfId="0" applyNumberFormat="1" applyFont="1" applyFill="1" applyBorder="1" applyAlignment="1" applyProtection="1">
      <alignment/>
      <protection/>
    </xf>
    <xf numFmtId="9" fontId="6" fillId="0" borderId="58" xfId="0" applyNumberFormat="1" applyFont="1" applyBorder="1" applyAlignment="1" applyProtection="1">
      <alignment/>
      <protection/>
    </xf>
    <xf numFmtId="9" fontId="0" fillId="0" borderId="58" xfId="0" applyNumberFormat="1" applyBorder="1" applyAlignment="1" applyProtection="1">
      <alignment/>
      <protection/>
    </xf>
    <xf numFmtId="9" fontId="0" fillId="2" borderId="58" xfId="0" applyNumberFormat="1" applyFill="1" applyBorder="1" applyAlignment="1" applyProtection="1">
      <alignment/>
      <protection/>
    </xf>
    <xf numFmtId="9" fontId="0" fillId="0" borderId="59" xfId="0" applyNumberFormat="1" applyBorder="1" applyAlignment="1" applyProtection="1">
      <alignment/>
      <protection/>
    </xf>
    <xf numFmtId="0" fontId="6" fillId="9" borderId="33" xfId="0" applyFont="1" applyFill="1" applyBorder="1" applyAlignment="1" applyProtection="1">
      <alignment/>
      <protection/>
    </xf>
    <xf numFmtId="0" fontId="6" fillId="5" borderId="33" xfId="0" applyFont="1" applyFill="1" applyBorder="1" applyAlignment="1" applyProtection="1">
      <alignment/>
      <protection/>
    </xf>
    <xf numFmtId="0" fontId="0" fillId="9" borderId="33" xfId="0" applyFont="1" applyFill="1" applyBorder="1" applyAlignment="1" applyProtection="1">
      <alignment/>
      <protection/>
    </xf>
    <xf numFmtId="0" fontId="6" fillId="23" borderId="32" xfId="0" applyFont="1" applyFill="1" applyBorder="1" applyAlignment="1" applyProtection="1">
      <alignment horizontal="center" wrapText="1"/>
      <protection/>
    </xf>
    <xf numFmtId="0" fontId="6" fillId="10" borderId="37" xfId="0" applyFont="1" applyFill="1" applyBorder="1" applyAlignment="1" applyProtection="1">
      <alignment/>
      <protection/>
    </xf>
    <xf numFmtId="0" fontId="0" fillId="10" borderId="33" xfId="0" applyFill="1" applyBorder="1" applyAlignment="1" applyProtection="1">
      <alignment/>
      <protection/>
    </xf>
    <xf numFmtId="0" fontId="0" fillId="10" borderId="36" xfId="0" applyFill="1" applyBorder="1" applyAlignment="1" applyProtection="1">
      <alignment horizontal="right"/>
      <protection/>
    </xf>
    <xf numFmtId="0" fontId="0" fillId="9" borderId="38" xfId="0" applyFill="1" applyBorder="1" applyAlignment="1" applyProtection="1">
      <alignment/>
      <protection/>
    </xf>
    <xf numFmtId="0" fontId="6" fillId="24" borderId="40" xfId="0" applyFont="1" applyFill="1" applyBorder="1" applyAlignment="1" applyProtection="1">
      <alignment horizontal="center" vertical="center" wrapText="1"/>
      <protection/>
    </xf>
    <xf numFmtId="0" fontId="6" fillId="9" borderId="44" xfId="0" applyFont="1" applyFill="1" applyBorder="1" applyAlignment="1" applyProtection="1">
      <alignment/>
      <protection/>
    </xf>
    <xf numFmtId="0" fontId="6" fillId="10" borderId="44" xfId="0" applyFont="1" applyFill="1" applyBorder="1" applyAlignment="1" applyProtection="1">
      <alignment/>
      <protection/>
    </xf>
    <xf numFmtId="9" fontId="6" fillId="2" borderId="53" xfId="24" applyFont="1" applyFill="1" applyBorder="1" applyAlignment="1" applyProtection="1">
      <alignment/>
      <protection/>
    </xf>
    <xf numFmtId="0" fontId="6" fillId="0" borderId="53" xfId="0" applyFont="1" applyFill="1" applyBorder="1" applyAlignment="1" applyProtection="1">
      <alignment/>
      <protection/>
    </xf>
    <xf numFmtId="0" fontId="6" fillId="5" borderId="44" xfId="0" applyFont="1" applyFill="1" applyBorder="1" applyAlignment="1" applyProtection="1">
      <alignment/>
      <protection/>
    </xf>
    <xf numFmtId="0" fontId="6" fillId="5" borderId="53" xfId="0" applyFont="1" applyFill="1" applyBorder="1" applyAlignment="1" applyProtection="1">
      <alignment/>
      <protection/>
    </xf>
    <xf numFmtId="9" fontId="0" fillId="5" borderId="53" xfId="24" applyFont="1" applyFill="1" applyBorder="1" applyAlignment="1" applyProtection="1">
      <alignment/>
      <protection/>
    </xf>
    <xf numFmtId="0" fontId="0" fillId="9" borderId="44" xfId="0" applyFont="1" applyFill="1" applyBorder="1" applyAlignment="1" applyProtection="1">
      <alignment/>
      <protection/>
    </xf>
    <xf numFmtId="0" fontId="0" fillId="4" borderId="60" xfId="0" applyFont="1" applyFill="1" applyBorder="1" applyAlignment="1" applyProtection="1">
      <alignment/>
      <protection/>
    </xf>
    <xf numFmtId="9" fontId="0" fillId="5" borderId="61" xfId="24" applyFont="1" applyFill="1" applyBorder="1" applyAlignment="1" applyProtection="1">
      <alignment/>
      <protection/>
    </xf>
    <xf numFmtId="0" fontId="6" fillId="25" borderId="39" xfId="0" applyFont="1" applyFill="1" applyBorder="1" applyAlignment="1" applyProtection="1">
      <alignment horizontal="center" wrapText="1"/>
      <protection/>
    </xf>
    <xf numFmtId="0" fontId="6" fillId="10" borderId="62" xfId="0" applyFont="1" applyFill="1" applyBorder="1" applyAlignment="1" applyProtection="1">
      <alignment/>
      <protection/>
    </xf>
    <xf numFmtId="9" fontId="6" fillId="2" borderId="63" xfId="24" applyFont="1" applyFill="1" applyBorder="1" applyAlignment="1" applyProtection="1">
      <alignment/>
      <protection/>
    </xf>
    <xf numFmtId="9" fontId="6" fillId="0" borderId="53" xfId="24" applyFont="1" applyBorder="1" applyAlignment="1" applyProtection="1">
      <alignment/>
      <protection/>
    </xf>
    <xf numFmtId="9" fontId="0" fillId="0" borderId="53" xfId="24" applyFont="1" applyBorder="1" applyAlignment="1" applyProtection="1">
      <alignment/>
      <protection/>
    </xf>
    <xf numFmtId="0" fontId="0" fillId="10" borderId="44" xfId="0" applyFill="1" applyBorder="1" applyAlignment="1" applyProtection="1">
      <alignment/>
      <protection/>
    </xf>
    <xf numFmtId="9" fontId="0" fillId="2" borderId="53" xfId="24" applyFont="1" applyFill="1" applyBorder="1" applyAlignment="1" applyProtection="1">
      <alignment/>
      <protection/>
    </xf>
    <xf numFmtId="0" fontId="0" fillId="9" borderId="44" xfId="0" applyFill="1" applyBorder="1" applyAlignment="1" applyProtection="1">
      <alignment/>
      <protection/>
    </xf>
    <xf numFmtId="9" fontId="0" fillId="0" borderId="53" xfId="24" applyFont="1" applyBorder="1" applyAlignment="1" applyProtection="1">
      <alignment/>
      <protection/>
    </xf>
    <xf numFmtId="0" fontId="0" fillId="10" borderId="50" xfId="0" applyFill="1" applyBorder="1" applyAlignment="1" applyProtection="1">
      <alignment horizontal="right"/>
      <protection/>
    </xf>
    <xf numFmtId="9" fontId="0" fillId="2" borderId="51" xfId="24" applyFont="1" applyFill="1" applyBorder="1" applyAlignment="1" applyProtection="1">
      <alignment/>
      <protection/>
    </xf>
    <xf numFmtId="0" fontId="6" fillId="25" borderId="39" xfId="0" applyFont="1" applyFill="1" applyBorder="1" applyAlignment="1" applyProtection="1">
      <alignment horizontal="center" vertical="justify"/>
      <protection/>
    </xf>
    <xf numFmtId="0" fontId="0" fillId="9" borderId="54" xfId="0" applyFill="1" applyBorder="1" applyAlignment="1" applyProtection="1">
      <alignment/>
      <protection/>
    </xf>
    <xf numFmtId="9" fontId="0" fillId="0" borderId="55" xfId="24" applyFont="1" applyBorder="1" applyAlignment="1" applyProtection="1">
      <alignment/>
      <protection/>
    </xf>
    <xf numFmtId="0" fontId="6" fillId="26" borderId="25" xfId="0" applyFont="1" applyFill="1" applyBorder="1" applyAlignment="1" applyProtection="1">
      <alignment horizontal="center" vertical="center" wrapText="1"/>
      <protection/>
    </xf>
    <xf numFmtId="9" fontId="6" fillId="2" borderId="27" xfId="24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6" fillId="5" borderId="27" xfId="0" applyFont="1" applyFill="1" applyBorder="1" applyAlignment="1" applyProtection="1">
      <alignment/>
      <protection/>
    </xf>
    <xf numFmtId="9" fontId="0" fillId="5" borderId="27" xfId="24" applyFont="1" applyFill="1" applyBorder="1" applyAlignment="1" applyProtection="1">
      <alignment/>
      <protection/>
    </xf>
    <xf numFmtId="9" fontId="0" fillId="5" borderId="56" xfId="24" applyFont="1" applyFill="1" applyBorder="1" applyAlignment="1" applyProtection="1">
      <alignment/>
      <protection/>
    </xf>
    <xf numFmtId="9" fontId="6" fillId="2" borderId="58" xfId="24" applyFont="1" applyFill="1" applyBorder="1" applyAlignment="1" applyProtection="1">
      <alignment/>
      <protection/>
    </xf>
    <xf numFmtId="9" fontId="6" fillId="0" borderId="27" xfId="24" applyFont="1" applyBorder="1" applyAlignment="1" applyProtection="1">
      <alignment/>
      <protection/>
    </xf>
    <xf numFmtId="9" fontId="0" fillId="0" borderId="27" xfId="24" applyFont="1" applyBorder="1" applyAlignment="1" applyProtection="1">
      <alignment/>
      <protection/>
    </xf>
    <xf numFmtId="9" fontId="0" fillId="2" borderId="27" xfId="24" applyFont="1" applyFill="1" applyBorder="1" applyAlignment="1" applyProtection="1">
      <alignment/>
      <protection/>
    </xf>
    <xf numFmtId="9" fontId="0" fillId="0" borderId="27" xfId="24" applyFont="1" applyBorder="1" applyAlignment="1" applyProtection="1">
      <alignment/>
      <protection/>
    </xf>
    <xf numFmtId="9" fontId="0" fillId="2" borderId="30" xfId="24" applyFont="1" applyFill="1" applyBorder="1" applyAlignment="1" applyProtection="1">
      <alignment/>
      <protection/>
    </xf>
    <xf numFmtId="9" fontId="0" fillId="0" borderId="31" xfId="24" applyFont="1" applyBorder="1" applyAlignment="1" applyProtection="1">
      <alignment/>
      <protection/>
    </xf>
    <xf numFmtId="0" fontId="6" fillId="23" borderId="32" xfId="0" applyFont="1" applyFill="1" applyBorder="1" applyAlignment="1" applyProtection="1">
      <alignment horizontal="center" wrapText="1"/>
      <protection/>
    </xf>
    <xf numFmtId="0" fontId="6" fillId="26" borderId="40" xfId="0" applyFont="1" applyFill="1" applyBorder="1" applyAlignment="1" applyProtection="1">
      <alignment horizontal="center" vertical="center" wrapText="1"/>
      <protection/>
    </xf>
    <xf numFmtId="0" fontId="6" fillId="23" borderId="39" xfId="0" applyFont="1" applyFill="1" applyBorder="1" applyAlignment="1" applyProtection="1">
      <alignment horizontal="center" wrapText="1"/>
      <protection/>
    </xf>
    <xf numFmtId="0" fontId="6" fillId="7" borderId="25" xfId="0" applyFont="1" applyFill="1" applyBorder="1" applyAlignment="1" applyProtection="1">
      <alignment horizontal="center" vertical="center" wrapText="1"/>
      <protection/>
    </xf>
    <xf numFmtId="0" fontId="6" fillId="23" borderId="39" xfId="0" applyFont="1" applyFill="1" applyBorder="1" applyAlignment="1" applyProtection="1">
      <alignment horizontal="center" wrapText="1"/>
      <protection/>
    </xf>
    <xf numFmtId="0" fontId="7" fillId="5" borderId="64" xfId="0" applyFont="1" applyFill="1" applyBorder="1" applyAlignment="1" applyProtection="1">
      <alignment horizontal="left" vertical="top" wrapText="1"/>
      <protection/>
    </xf>
    <xf numFmtId="0" fontId="9" fillId="8" borderId="16" xfId="0" applyFont="1" applyFill="1" applyBorder="1" applyAlignment="1" applyProtection="1">
      <alignment horizontal="left"/>
      <protection/>
    </xf>
    <xf numFmtId="9" fontId="9" fillId="8" borderId="56" xfId="0" applyNumberFormat="1" applyFont="1" applyFill="1" applyBorder="1" applyAlignment="1" applyProtection="1">
      <alignment/>
      <protection/>
    </xf>
    <xf numFmtId="0" fontId="9" fillId="4" borderId="50" xfId="0" applyFont="1" applyFill="1" applyBorder="1" applyAlignment="1" applyProtection="1">
      <alignment/>
      <protection/>
    </xf>
    <xf numFmtId="9" fontId="9" fillId="8" borderId="51" xfId="0" applyNumberFormat="1" applyFont="1" applyFill="1" applyBorder="1" applyAlignment="1" applyProtection="1">
      <alignment/>
      <protection/>
    </xf>
    <xf numFmtId="0" fontId="8" fillId="27" borderId="19" xfId="0" applyFont="1" applyFill="1" applyBorder="1" applyAlignment="1" applyProtection="1">
      <alignment horizontal="left"/>
      <protection/>
    </xf>
    <xf numFmtId="9" fontId="9" fillId="27" borderId="31" xfId="0" applyNumberFormat="1" applyFont="1" applyFill="1" applyBorder="1" applyAlignment="1" applyProtection="1">
      <alignment/>
      <protection/>
    </xf>
    <xf numFmtId="0" fontId="9" fillId="28" borderId="54" xfId="0" applyFont="1" applyFill="1" applyBorder="1" applyAlignment="1" applyProtection="1">
      <alignment/>
      <protection/>
    </xf>
    <xf numFmtId="9" fontId="9" fillId="27" borderId="55" xfId="0" applyNumberFormat="1" applyFont="1" applyFill="1" applyBorder="1" applyAlignment="1" applyProtection="1">
      <alignment/>
      <protection/>
    </xf>
    <xf numFmtId="0" fontId="0" fillId="28" borderId="38" xfId="0" applyFont="1" applyFill="1" applyBorder="1" applyAlignment="1" applyProtection="1">
      <alignment/>
      <protection/>
    </xf>
    <xf numFmtId="9" fontId="0" fillId="29" borderId="21" xfId="0" applyNumberFormat="1" applyFont="1" applyFill="1" applyBorder="1" applyAlignment="1" applyProtection="1">
      <alignment/>
      <protection/>
    </xf>
    <xf numFmtId="0" fontId="0" fillId="28" borderId="19" xfId="0" applyFont="1" applyFill="1" applyBorder="1" applyAlignment="1" applyProtection="1">
      <alignment/>
      <protection/>
    </xf>
    <xf numFmtId="9" fontId="0" fillId="29" borderId="31" xfId="0" applyNumberFormat="1" applyFont="1" applyFill="1" applyBorder="1" applyAlignment="1" applyProtection="1">
      <alignment/>
      <protection/>
    </xf>
    <xf numFmtId="0" fontId="0" fillId="28" borderId="54" xfId="0" applyFont="1" applyFill="1" applyBorder="1" applyAlignment="1" applyProtection="1">
      <alignment/>
      <protection/>
    </xf>
    <xf numFmtId="9" fontId="0" fillId="29" borderId="21" xfId="24" applyFont="1" applyFill="1" applyBorder="1" applyAlignment="1" applyProtection="1">
      <alignment/>
      <protection/>
    </xf>
    <xf numFmtId="9" fontId="0" fillId="29" borderId="55" xfId="24" applyFont="1" applyFill="1" applyBorder="1" applyAlignment="1" applyProtection="1">
      <alignment/>
      <protection/>
    </xf>
    <xf numFmtId="9" fontId="0" fillId="29" borderId="31" xfId="24" applyFont="1" applyFill="1" applyBorder="1" applyAlignment="1" applyProtection="1">
      <alignment/>
      <protection/>
    </xf>
    <xf numFmtId="164" fontId="18" fillId="28" borderId="19" xfId="0" applyNumberFormat="1" applyFont="1" applyFill="1" applyBorder="1" applyAlignment="1" applyProtection="1">
      <alignment/>
      <protection/>
    </xf>
    <xf numFmtId="1" fontId="8" fillId="4" borderId="6" xfId="0" applyNumberFormat="1" applyFont="1" applyFill="1" applyBorder="1" applyAlignment="1" applyProtection="1">
      <alignment/>
      <protection/>
    </xf>
    <xf numFmtId="9" fontId="9" fillId="13" borderId="65" xfId="0" applyNumberFormat="1" applyFont="1" applyFill="1" applyBorder="1" applyAlignment="1" applyProtection="1">
      <alignment/>
      <protection/>
    </xf>
    <xf numFmtId="9" fontId="9" fillId="0" borderId="53" xfId="0" applyNumberFormat="1" applyFont="1" applyFill="1" applyBorder="1" applyAlignment="1" applyProtection="1">
      <alignment/>
      <protection/>
    </xf>
    <xf numFmtId="9" fontId="9" fillId="5" borderId="53" xfId="0" applyNumberFormat="1" applyFont="1" applyFill="1" applyBorder="1" applyAlignment="1" applyProtection="1">
      <alignment/>
      <protection/>
    </xf>
    <xf numFmtId="9" fontId="9" fillId="13" borderId="53" xfId="0" applyNumberFormat="1" applyFont="1" applyFill="1" applyBorder="1" applyAlignment="1" applyProtection="1">
      <alignment/>
      <protection/>
    </xf>
    <xf numFmtId="0" fontId="8" fillId="10" borderId="44" xfId="0" applyFont="1" applyFill="1" applyBorder="1" applyAlignment="1" applyProtection="1">
      <alignment/>
      <protection/>
    </xf>
    <xf numFmtId="9" fontId="9" fillId="8" borderId="61" xfId="0" applyNumberFormat="1" applyFont="1" applyFill="1" applyBorder="1" applyAlignment="1" applyProtection="1">
      <alignment/>
      <protection/>
    </xf>
    <xf numFmtId="0" fontId="9" fillId="4" borderId="60" xfId="0" applyFont="1" applyFill="1" applyBorder="1" applyAlignment="1" applyProtection="1">
      <alignment/>
      <protection/>
    </xf>
    <xf numFmtId="0" fontId="6" fillId="22" borderId="39" xfId="0" applyFont="1" applyFill="1" applyBorder="1" applyAlignment="1" applyProtection="1">
      <alignment horizontal="center" vertical="center" wrapText="1"/>
      <protection/>
    </xf>
    <xf numFmtId="9" fontId="9" fillId="13" borderId="66" xfId="0" applyNumberFormat="1" applyFont="1" applyFill="1" applyBorder="1" applyAlignment="1" applyProtection="1">
      <alignment/>
      <protection/>
    </xf>
    <xf numFmtId="0" fontId="8" fillId="10" borderId="67" xfId="22" applyFont="1" applyFill="1" applyBorder="1" applyAlignment="1" applyProtection="1">
      <alignment/>
      <protection/>
    </xf>
    <xf numFmtId="9" fontId="9" fillId="8" borderId="68" xfId="0" applyNumberFormat="1" applyFont="1" applyFill="1" applyBorder="1" applyAlignment="1" applyProtection="1">
      <alignment/>
      <protection/>
    </xf>
    <xf numFmtId="9" fontId="9" fillId="13" borderId="68" xfId="0" applyNumberFormat="1" applyFont="1" applyFill="1" applyBorder="1" applyAlignment="1" applyProtection="1">
      <alignment/>
      <protection/>
    </xf>
    <xf numFmtId="0" fontId="8" fillId="10" borderId="69" xfId="22" applyFont="1" applyFill="1" applyBorder="1" applyAlignment="1" applyProtection="1">
      <alignment/>
      <protection/>
    </xf>
    <xf numFmtId="0" fontId="9" fillId="4" borderId="69" xfId="22" applyFont="1" applyFill="1" applyBorder="1" applyAlignment="1" applyProtection="1">
      <alignment/>
      <protection/>
    </xf>
    <xf numFmtId="0" fontId="8" fillId="4" borderId="69" xfId="22" applyFont="1" applyFill="1" applyBorder="1" applyAlignment="1" applyProtection="1">
      <alignment/>
      <protection/>
    </xf>
    <xf numFmtId="0" fontId="9" fillId="10" borderId="69" xfId="22" applyFont="1" applyFill="1" applyBorder="1" applyAlignment="1" applyProtection="1">
      <alignment/>
      <protection/>
    </xf>
    <xf numFmtId="9" fontId="9" fillId="8" borderId="65" xfId="0" applyNumberFormat="1" applyFont="1" applyFill="1" applyBorder="1" applyAlignment="1" applyProtection="1">
      <alignment/>
      <protection/>
    </xf>
    <xf numFmtId="0" fontId="9" fillId="4" borderId="70" xfId="22" applyFont="1" applyFill="1" applyBorder="1" applyAlignment="1" applyProtection="1">
      <alignment/>
      <protection/>
    </xf>
    <xf numFmtId="9" fontId="9" fillId="8" borderId="53" xfId="0" applyNumberFormat="1" applyFont="1" applyFill="1" applyBorder="1" applyAlignment="1" applyProtection="1">
      <alignment/>
      <protection/>
    </xf>
    <xf numFmtId="9" fontId="9" fillId="8" borderId="55" xfId="0" applyNumberFormat="1" applyFont="1" applyFill="1" applyBorder="1" applyAlignment="1" applyProtection="1">
      <alignment/>
      <protection/>
    </xf>
    <xf numFmtId="9" fontId="9" fillId="30" borderId="53" xfId="0" applyNumberFormat="1" applyFont="1" applyFill="1" applyBorder="1" applyAlignment="1" applyProtection="1">
      <alignment/>
      <protection/>
    </xf>
    <xf numFmtId="1" fontId="9" fillId="9" borderId="44" xfId="0" applyNumberFormat="1" applyFont="1" applyFill="1" applyBorder="1" applyAlignment="1" applyProtection="1">
      <alignment/>
      <protection/>
    </xf>
    <xf numFmtId="1" fontId="9" fillId="5" borderId="44" xfId="0" applyNumberFormat="1" applyFont="1" applyFill="1" applyBorder="1" applyAlignment="1" applyProtection="1">
      <alignment/>
      <protection/>
    </xf>
    <xf numFmtId="9" fontId="9" fillId="31" borderId="53" xfId="0" applyNumberFormat="1" applyFont="1" applyFill="1" applyBorder="1" applyAlignment="1" applyProtection="1">
      <alignment/>
      <protection/>
    </xf>
    <xf numFmtId="1" fontId="9" fillId="10" borderId="44" xfId="0" applyNumberFormat="1" applyFont="1" applyFill="1" applyBorder="1" applyAlignment="1" applyProtection="1">
      <alignment/>
      <protection/>
    </xf>
    <xf numFmtId="9" fontId="9" fillId="32" borderId="61" xfId="0" applyNumberFormat="1" applyFont="1" applyFill="1" applyBorder="1" applyAlignment="1" applyProtection="1">
      <alignment/>
      <protection/>
    </xf>
    <xf numFmtId="1" fontId="9" fillId="4" borderId="60" xfId="0" applyNumberFormat="1" applyFont="1" applyFill="1" applyBorder="1" applyAlignment="1" applyProtection="1">
      <alignment/>
      <protection/>
    </xf>
    <xf numFmtId="9" fontId="9" fillId="33" borderId="55" xfId="0" applyNumberFormat="1" applyFont="1" applyFill="1" applyBorder="1" applyAlignment="1" applyProtection="1">
      <alignment/>
      <protection/>
    </xf>
    <xf numFmtId="1" fontId="9" fillId="28" borderId="54" xfId="0" applyNumberFormat="1" applyFont="1" applyFill="1" applyBorder="1" applyAlignment="1" applyProtection="1">
      <alignment/>
      <protection/>
    </xf>
    <xf numFmtId="0" fontId="9" fillId="10" borderId="62" xfId="19" applyFont="1" applyFill="1" applyBorder="1" applyAlignment="1" applyProtection="1">
      <alignment/>
      <protection/>
    </xf>
    <xf numFmtId="0" fontId="9" fillId="4" borderId="44" xfId="19" applyFont="1" applyFill="1" applyBorder="1" applyAlignment="1" applyProtection="1">
      <alignment/>
      <protection/>
    </xf>
    <xf numFmtId="0" fontId="9" fillId="10" borderId="44" xfId="19" applyFont="1" applyFill="1" applyBorder="1" applyAlignment="1" applyProtection="1">
      <alignment/>
      <protection/>
    </xf>
    <xf numFmtId="9" fontId="0" fillId="13" borderId="51" xfId="0" applyNumberFormat="1" applyFont="1" applyFill="1" applyBorder="1" applyAlignment="1" applyProtection="1">
      <alignment horizontal="right"/>
      <protection/>
    </xf>
    <xf numFmtId="164" fontId="9" fillId="10" borderId="50" xfId="0" applyNumberFormat="1" applyFont="1" applyFill="1" applyBorder="1" applyAlignment="1" applyProtection="1">
      <alignment horizontal="right"/>
      <protection/>
    </xf>
    <xf numFmtId="169" fontId="9" fillId="10" borderId="71" xfId="0" applyNumberFormat="1" applyFont="1" applyFill="1" applyBorder="1" applyAlignment="1" applyProtection="1">
      <alignment/>
      <protection/>
    </xf>
    <xf numFmtId="169" fontId="9" fillId="4" borderId="72" xfId="0" applyNumberFormat="1" applyFont="1" applyFill="1" applyBorder="1" applyAlignment="1" applyProtection="1">
      <alignment/>
      <protection/>
    </xf>
    <xf numFmtId="169" fontId="9" fillId="10" borderId="72" xfId="0" applyNumberFormat="1" applyFont="1" applyFill="1" applyBorder="1" applyAlignment="1" applyProtection="1">
      <alignment/>
      <protection/>
    </xf>
    <xf numFmtId="168" fontId="9" fillId="4" borderId="72" xfId="0" applyNumberFormat="1" applyFont="1" applyFill="1" applyBorder="1" applyAlignment="1" applyProtection="1">
      <alignment/>
      <protection/>
    </xf>
    <xf numFmtId="169" fontId="9" fillId="10" borderId="73" xfId="0" applyNumberFormat="1" applyFont="1" applyFill="1" applyBorder="1" applyAlignment="1" applyProtection="1">
      <alignment/>
      <protection/>
    </xf>
    <xf numFmtId="9" fontId="9" fillId="8" borderId="68" xfId="24" applyFont="1" applyFill="1" applyBorder="1" applyAlignment="1" applyProtection="1">
      <alignment/>
      <protection/>
    </xf>
    <xf numFmtId="169" fontId="9" fillId="4" borderId="44" xfId="0" applyNumberFormat="1" applyFont="1" applyFill="1" applyBorder="1" applyAlignment="1" applyProtection="1">
      <alignment/>
      <protection/>
    </xf>
    <xf numFmtId="169" fontId="9" fillId="10" borderId="44" xfId="0" applyNumberFormat="1" applyFont="1" applyFill="1" applyBorder="1" applyAlignment="1" applyProtection="1">
      <alignment/>
      <protection/>
    </xf>
    <xf numFmtId="169" fontId="9" fillId="4" borderId="54" xfId="0" applyNumberFormat="1" applyFont="1" applyFill="1" applyBorder="1" applyAlignment="1" applyProtection="1">
      <alignment/>
      <protection/>
    </xf>
    <xf numFmtId="0" fontId="8" fillId="13" borderId="74" xfId="0" applyFont="1" applyFill="1" applyBorder="1" applyAlignment="1" applyProtection="1">
      <alignment horizontal="left"/>
      <protection/>
    </xf>
    <xf numFmtId="9" fontId="9" fillId="31" borderId="75" xfId="0" applyNumberFormat="1" applyFont="1" applyFill="1" applyBorder="1" applyAlignment="1" applyProtection="1">
      <alignment/>
      <protection/>
    </xf>
    <xf numFmtId="9" fontId="9" fillId="13" borderId="75" xfId="0" applyNumberFormat="1" applyFont="1" applyFill="1" applyBorder="1" applyAlignment="1" applyProtection="1">
      <alignment/>
      <protection/>
    </xf>
    <xf numFmtId="9" fontId="8" fillId="13" borderId="76" xfId="0" applyNumberFormat="1" applyFont="1" applyFill="1" applyBorder="1" applyAlignment="1" applyProtection="1">
      <alignment/>
      <protection/>
    </xf>
    <xf numFmtId="9" fontId="6" fillId="2" borderId="11" xfId="24" applyFont="1" applyFill="1" applyBorder="1" applyAlignment="1" applyProtection="1">
      <alignment/>
      <protection/>
    </xf>
    <xf numFmtId="9" fontId="6" fillId="2" borderId="77" xfId="24" applyFont="1" applyFill="1" applyBorder="1" applyAlignment="1" applyProtection="1">
      <alignment/>
      <protection/>
    </xf>
    <xf numFmtId="9" fontId="6" fillId="2" borderId="57" xfId="24" applyFont="1" applyFill="1" applyBorder="1" applyAlignment="1" applyProtection="1">
      <alignment/>
      <protection/>
    </xf>
    <xf numFmtId="0" fontId="22" fillId="5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18" fillId="5" borderId="0" xfId="0" applyFont="1" applyFill="1" applyBorder="1" applyAlignment="1" applyProtection="1">
      <alignment/>
      <protection/>
    </xf>
    <xf numFmtId="0" fontId="16" fillId="0" borderId="64" xfId="0" applyFont="1" applyBorder="1" applyAlignment="1" applyProtection="1">
      <alignment/>
      <protection/>
    </xf>
    <xf numFmtId="0" fontId="9" fillId="8" borderId="4" xfId="0" applyFont="1" applyFill="1" applyBorder="1" applyAlignment="1" applyProtection="1">
      <alignment horizontal="left"/>
      <protection/>
    </xf>
    <xf numFmtId="2" fontId="18" fillId="8" borderId="17" xfId="0" applyNumberFormat="1" applyFont="1" applyFill="1" applyBorder="1" applyAlignment="1" applyProtection="1">
      <alignment/>
      <protection/>
    </xf>
    <xf numFmtId="2" fontId="18" fillId="27" borderId="21" xfId="0" applyNumberFormat="1" applyFon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18" fillId="5" borderId="0" xfId="0" applyFont="1" applyFill="1" applyBorder="1" applyAlignment="1" applyProtection="1">
      <alignment/>
      <protection/>
    </xf>
    <xf numFmtId="0" fontId="0" fillId="5" borderId="78" xfId="0" applyFill="1" applyBorder="1" applyAlignment="1" applyProtection="1">
      <alignment/>
      <protection/>
    </xf>
    <xf numFmtId="0" fontId="28" fillId="5" borderId="79" xfId="0" applyFont="1" applyFill="1" applyBorder="1" applyAlignment="1" applyProtection="1">
      <alignment horizontal="left" vertical="center" wrapText="1"/>
      <protection/>
    </xf>
    <xf numFmtId="164" fontId="18" fillId="4" borderId="23" xfId="0" applyNumberFormat="1" applyFont="1" applyFill="1" applyBorder="1" applyAlignment="1" applyProtection="1">
      <alignment/>
      <protection/>
    </xf>
    <xf numFmtId="0" fontId="0" fillId="5" borderId="78" xfId="0" applyFill="1" applyBorder="1" applyAlignment="1" applyProtection="1">
      <alignment/>
      <protection/>
    </xf>
    <xf numFmtId="1" fontId="8" fillId="4" borderId="44" xfId="0" applyNumberFormat="1" applyFont="1" applyFill="1" applyBorder="1" applyAlignment="1" applyProtection="1">
      <alignment/>
      <protection/>
    </xf>
    <xf numFmtId="0" fontId="8" fillId="9" borderId="42" xfId="23" applyFont="1" applyFill="1" applyBorder="1" applyAlignment="1" applyProtection="1">
      <alignment/>
      <protection/>
    </xf>
    <xf numFmtId="1" fontId="9" fillId="4" borderId="44" xfId="0" applyNumberFormat="1" applyFont="1" applyFill="1" applyBorder="1" applyAlignment="1" applyProtection="1">
      <alignment/>
      <protection/>
    </xf>
    <xf numFmtId="0" fontId="8" fillId="9" borderId="70" xfId="22" applyFont="1" applyFill="1" applyBorder="1" applyAlignment="1" applyProtection="1">
      <alignment/>
      <protection/>
    </xf>
    <xf numFmtId="0" fontId="8" fillId="10" borderId="80" xfId="22" applyFont="1" applyFill="1" applyBorder="1" applyAlignment="1" applyProtection="1">
      <alignment/>
      <protection/>
    </xf>
    <xf numFmtId="164" fontId="0" fillId="13" borderId="76" xfId="0" applyNumberFormat="1" applyFont="1" applyFill="1" applyBorder="1" applyAlignment="1" applyProtection="1">
      <alignment/>
      <protection/>
    </xf>
    <xf numFmtId="164" fontId="0" fillId="0" borderId="27" xfId="0" applyNumberFormat="1" applyFont="1" applyFill="1" applyBorder="1" applyAlignment="1" applyProtection="1">
      <alignment/>
      <protection/>
    </xf>
    <xf numFmtId="164" fontId="0" fillId="5" borderId="29" xfId="0" applyNumberFormat="1" applyFont="1" applyFill="1" applyBorder="1" applyAlignment="1" applyProtection="1">
      <alignment/>
      <protection/>
    </xf>
    <xf numFmtId="164" fontId="0" fillId="0" borderId="29" xfId="0" applyNumberFormat="1" applyFont="1" applyFill="1" applyBorder="1" applyAlignment="1" applyProtection="1">
      <alignment/>
      <protection/>
    </xf>
    <xf numFmtId="165" fontId="0" fillId="5" borderId="27" xfId="0" applyNumberFormat="1" applyFont="1" applyFill="1" applyBorder="1" applyAlignment="1" applyProtection="1">
      <alignment/>
      <protection/>
    </xf>
    <xf numFmtId="165" fontId="0" fillId="5" borderId="27" xfId="0" applyNumberFormat="1" applyFont="1" applyFill="1" applyBorder="1" applyAlignment="1" applyProtection="1">
      <alignment/>
      <protection/>
    </xf>
    <xf numFmtId="164" fontId="0" fillId="13" borderId="27" xfId="0" applyNumberFormat="1" applyFont="1" applyFill="1" applyBorder="1" applyAlignment="1" applyProtection="1">
      <alignment/>
      <protection/>
    </xf>
    <xf numFmtId="1" fontId="0" fillId="13" borderId="76" xfId="0" applyNumberFormat="1" applyFont="1" applyFill="1" applyBorder="1" applyAlignment="1" applyProtection="1">
      <alignment/>
      <protection/>
    </xf>
    <xf numFmtId="164" fontId="0" fillId="8" borderId="29" xfId="0" applyNumberFormat="1" applyFont="1" applyFill="1" applyBorder="1" applyAlignment="1" applyProtection="1">
      <alignment/>
      <protection/>
    </xf>
    <xf numFmtId="1" fontId="0" fillId="8" borderId="29" xfId="0" applyNumberFormat="1" applyFont="1" applyFill="1" applyBorder="1" applyAlignment="1" applyProtection="1">
      <alignment/>
      <protection/>
    </xf>
    <xf numFmtId="164" fontId="0" fillId="13" borderId="29" xfId="0" applyNumberFormat="1" applyFont="1" applyFill="1" applyBorder="1" applyAlignment="1" applyProtection="1">
      <alignment/>
      <protection/>
    </xf>
    <xf numFmtId="164" fontId="0" fillId="13" borderId="29" xfId="0" applyNumberFormat="1" applyFont="1" applyFill="1" applyBorder="1" applyAlignment="1" applyProtection="1">
      <alignment/>
      <protection/>
    </xf>
    <xf numFmtId="1" fontId="0" fillId="13" borderId="29" xfId="0" applyNumberFormat="1" applyFont="1" applyFill="1" applyBorder="1" applyAlignment="1" applyProtection="1">
      <alignment/>
      <protection/>
    </xf>
    <xf numFmtId="1" fontId="0" fillId="13" borderId="81" xfId="0" applyNumberFormat="1" applyFont="1" applyFill="1" applyBorder="1" applyAlignment="1" applyProtection="1">
      <alignment/>
      <protection/>
    </xf>
    <xf numFmtId="1" fontId="0" fillId="13" borderId="26" xfId="0" applyNumberFormat="1" applyFont="1" applyFill="1" applyBorder="1" applyAlignment="1" applyProtection="1">
      <alignment/>
      <protection/>
    </xf>
    <xf numFmtId="1" fontId="0" fillId="8" borderId="82" xfId="0" applyNumberFormat="1" applyFont="1" applyFill="1" applyBorder="1" applyAlignment="1" applyProtection="1">
      <alignment/>
      <protection/>
    </xf>
    <xf numFmtId="0" fontId="27" fillId="34" borderId="3" xfId="0" applyFont="1" applyFill="1" applyBorder="1" applyAlignment="1" applyProtection="1">
      <alignment horizontal="center" vertical="center" wrapText="1"/>
      <protection/>
    </xf>
    <xf numFmtId="0" fontId="27" fillId="35" borderId="40" xfId="0" applyFont="1" applyFill="1" applyBorder="1" applyAlignment="1" applyProtection="1">
      <alignment horizontal="center" vertical="center" wrapText="1"/>
      <protection/>
    </xf>
    <xf numFmtId="171" fontId="9" fillId="10" borderId="83" xfId="0" applyNumberFormat="1" applyFont="1" applyFill="1" applyBorder="1" applyAlignment="1" applyProtection="1">
      <alignment/>
      <protection/>
    </xf>
    <xf numFmtId="172" fontId="8" fillId="10" borderId="83" xfId="0" applyNumberFormat="1" applyFont="1" applyFill="1" applyBorder="1" applyAlignment="1" applyProtection="1">
      <alignment/>
      <protection/>
    </xf>
    <xf numFmtId="0" fontId="27" fillId="34" borderId="39" xfId="0" applyFont="1" applyFill="1" applyBorder="1" applyAlignment="1" applyProtection="1">
      <alignment horizontal="center" vertical="center" wrapText="1"/>
      <protection/>
    </xf>
    <xf numFmtId="0" fontId="27" fillId="35" borderId="40" xfId="0" applyFont="1" applyFill="1" applyBorder="1" applyAlignment="1" applyProtection="1">
      <alignment horizontal="center" vertical="center" wrapText="1"/>
      <protection/>
    </xf>
    <xf numFmtId="1" fontId="0" fillId="8" borderId="84" xfId="0" applyNumberFormat="1" applyFont="1" applyFill="1" applyBorder="1" applyAlignment="1" applyProtection="1">
      <alignment horizontal="right"/>
      <protection/>
    </xf>
    <xf numFmtId="164" fontId="0" fillId="8" borderId="84" xfId="0" applyNumberFormat="1" applyFont="1" applyFill="1" applyBorder="1" applyAlignment="1" applyProtection="1">
      <alignment horizontal="right"/>
      <protection/>
    </xf>
    <xf numFmtId="2" fontId="0" fillId="8" borderId="84" xfId="0" applyNumberFormat="1" applyFont="1" applyFill="1" applyBorder="1" applyAlignment="1" applyProtection="1">
      <alignment horizontal="right"/>
      <protection/>
    </xf>
    <xf numFmtId="165" fontId="0" fillId="8" borderId="85" xfId="0" applyNumberFormat="1" applyFont="1" applyFill="1" applyBorder="1" applyAlignment="1" applyProtection="1">
      <alignment horizontal="right"/>
      <protection/>
    </xf>
    <xf numFmtId="1" fontId="0" fillId="13" borderId="86" xfId="0" applyNumberFormat="1" applyFont="1" applyFill="1" applyBorder="1" applyAlignment="1" applyProtection="1">
      <alignment horizontal="right"/>
      <protection/>
    </xf>
    <xf numFmtId="1" fontId="0" fillId="13" borderId="84" xfId="0" applyNumberFormat="1" applyFont="1" applyFill="1" applyBorder="1" applyAlignment="1" applyProtection="1">
      <alignment horizontal="right"/>
      <protection/>
    </xf>
    <xf numFmtId="164" fontId="0" fillId="13" borderId="84" xfId="0" applyNumberFormat="1" applyFont="1" applyFill="1" applyBorder="1" applyAlignment="1" applyProtection="1">
      <alignment horizontal="right"/>
      <protection/>
    </xf>
    <xf numFmtId="2" fontId="0" fillId="13" borderId="84" xfId="0" applyNumberFormat="1" applyFont="1" applyFill="1" applyBorder="1" applyAlignment="1" applyProtection="1">
      <alignment horizontal="right"/>
      <protection/>
    </xf>
    <xf numFmtId="165" fontId="0" fillId="13" borderId="84" xfId="0" applyNumberFormat="1" applyFont="1" applyFill="1" applyBorder="1" applyAlignment="1" applyProtection="1">
      <alignment horizontal="right"/>
      <protection/>
    </xf>
    <xf numFmtId="0" fontId="9" fillId="13" borderId="87" xfId="0" applyFont="1" applyFill="1" applyBorder="1" applyAlignment="1" applyProtection="1">
      <alignment horizontal="left"/>
      <protection/>
    </xf>
    <xf numFmtId="0" fontId="9" fillId="8" borderId="88" xfId="0" applyFont="1" applyFill="1" applyBorder="1" applyAlignment="1" applyProtection="1">
      <alignment horizontal="left"/>
      <protection/>
    </xf>
    <xf numFmtId="0" fontId="9" fillId="13" borderId="88" xfId="0" applyFont="1" applyFill="1" applyBorder="1" applyAlignment="1" applyProtection="1">
      <alignment horizontal="left"/>
      <protection/>
    </xf>
    <xf numFmtId="0" fontId="9" fillId="8" borderId="18" xfId="0" applyFont="1" applyFill="1" applyBorder="1" applyAlignment="1" applyProtection="1">
      <alignment horizontal="left"/>
      <protection/>
    </xf>
    <xf numFmtId="0" fontId="8" fillId="5" borderId="6" xfId="0" applyFont="1" applyFill="1" applyBorder="1" applyAlignment="1" applyProtection="1">
      <alignment horizontal="left"/>
      <protection/>
    </xf>
    <xf numFmtId="164" fontId="9" fillId="4" borderId="5" xfId="0" applyNumberFormat="1" applyFont="1" applyFill="1" applyBorder="1" applyAlignment="1" applyProtection="1">
      <alignment/>
      <protection/>
    </xf>
    <xf numFmtId="9" fontId="9" fillId="5" borderId="53" xfId="0" applyNumberFormat="1" applyFont="1" applyFill="1" applyBorder="1" applyAlignment="1" applyProtection="1">
      <alignment/>
      <protection/>
    </xf>
    <xf numFmtId="164" fontId="9" fillId="4" borderId="44" xfId="0" applyNumberFormat="1" applyFont="1" applyFill="1" applyBorder="1" applyAlignment="1" applyProtection="1">
      <alignment/>
      <protection/>
    </xf>
    <xf numFmtId="0" fontId="9" fillId="4" borderId="44" xfId="0" applyFont="1" applyFill="1" applyBorder="1" applyAlignment="1" applyProtection="1">
      <alignment/>
      <protection/>
    </xf>
    <xf numFmtId="9" fontId="9" fillId="5" borderId="27" xfId="0" applyNumberFormat="1" applyFont="1" applyFill="1" applyBorder="1" applyAlignment="1" applyProtection="1">
      <alignment/>
      <protection/>
    </xf>
    <xf numFmtId="9" fontId="9" fillId="5" borderId="43" xfId="0" applyNumberFormat="1" applyFont="1" applyFill="1" applyBorder="1" applyAlignment="1" applyProtection="1">
      <alignment/>
      <protection/>
    </xf>
    <xf numFmtId="0" fontId="0" fillId="4" borderId="33" xfId="0" applyFill="1" applyBorder="1" applyAlignment="1" applyProtection="1">
      <alignment/>
      <protection/>
    </xf>
    <xf numFmtId="9" fontId="0" fillId="5" borderId="7" xfId="0" applyNumberFormat="1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9" fontId="0" fillId="5" borderId="27" xfId="0" applyNumberFormat="1" applyFill="1" applyBorder="1" applyAlignment="1" applyProtection="1">
      <alignment/>
      <protection/>
    </xf>
    <xf numFmtId="0" fontId="0" fillId="4" borderId="44" xfId="0" applyFont="1" applyFill="1" applyBorder="1" applyAlignment="1" applyProtection="1">
      <alignment/>
      <protection/>
    </xf>
    <xf numFmtId="9" fontId="0" fillId="5" borderId="7" xfId="24" applyFont="1" applyFill="1" applyBorder="1" applyAlignment="1" applyProtection="1">
      <alignment/>
      <protection/>
    </xf>
    <xf numFmtId="0" fontId="0" fillId="4" borderId="5" xfId="0" applyFont="1" applyFill="1" applyBorder="1" applyAlignment="1" applyProtection="1">
      <alignment/>
      <protection/>
    </xf>
    <xf numFmtId="9" fontId="0" fillId="5" borderId="53" xfId="24" applyFont="1" applyFill="1" applyBorder="1" applyAlignment="1" applyProtection="1">
      <alignment/>
      <protection/>
    </xf>
    <xf numFmtId="0" fontId="0" fillId="4" borderId="33" xfId="0" applyFont="1" applyFill="1" applyBorder="1" applyAlignment="1" applyProtection="1">
      <alignment/>
      <protection/>
    </xf>
    <xf numFmtId="9" fontId="0" fillId="5" borderId="27" xfId="24" applyFont="1" applyFill="1" applyBorder="1" applyAlignment="1" applyProtection="1">
      <alignment/>
      <protection/>
    </xf>
    <xf numFmtId="0" fontId="9" fillId="5" borderId="89" xfId="0" applyFont="1" applyFill="1" applyBorder="1" applyAlignment="1" applyProtection="1">
      <alignment horizontal="left"/>
      <protection/>
    </xf>
    <xf numFmtId="0" fontId="8" fillId="0" borderId="5" xfId="0" applyFont="1" applyFill="1" applyBorder="1" applyAlignment="1" applyProtection="1">
      <alignment horizontal="left"/>
      <protection/>
    </xf>
    <xf numFmtId="164" fontId="0" fillId="0" borderId="7" xfId="0" applyNumberFormat="1" applyFont="1" applyFill="1" applyBorder="1" applyAlignment="1" applyProtection="1">
      <alignment/>
      <protection/>
    </xf>
    <xf numFmtId="0" fontId="9" fillId="5" borderId="90" xfId="0" applyFont="1" applyFill="1" applyBorder="1" applyAlignment="1" applyProtection="1">
      <alignment horizontal="left"/>
      <protection/>
    </xf>
    <xf numFmtId="164" fontId="0" fillId="5" borderId="13" xfId="0" applyNumberFormat="1" applyFont="1" applyFill="1" applyBorder="1" applyAlignment="1" applyProtection="1">
      <alignment/>
      <protection/>
    </xf>
    <xf numFmtId="164" fontId="0" fillId="5" borderId="17" xfId="0" applyNumberFormat="1" applyFont="1" applyFill="1" applyBorder="1" applyAlignment="1" applyProtection="1">
      <alignment/>
      <protection/>
    </xf>
    <xf numFmtId="164" fontId="9" fillId="5" borderId="91" xfId="0" applyNumberFormat="1" applyFont="1" applyFill="1" applyBorder="1" applyAlignment="1" applyProtection="1">
      <alignment/>
      <protection/>
    </xf>
    <xf numFmtId="9" fontId="9" fillId="5" borderId="92" xfId="0" applyNumberFormat="1" applyFont="1" applyFill="1" applyBorder="1" applyAlignment="1" applyProtection="1">
      <alignment/>
      <protection/>
    </xf>
    <xf numFmtId="164" fontId="9" fillId="5" borderId="62" xfId="0" applyNumberFormat="1" applyFont="1" applyFill="1" applyBorder="1" applyAlignment="1" applyProtection="1">
      <alignment/>
      <protection/>
    </xf>
    <xf numFmtId="9" fontId="9" fillId="5" borderId="93" xfId="0" applyNumberFormat="1" applyFont="1" applyFill="1" applyBorder="1" applyAlignment="1" applyProtection="1">
      <alignment/>
      <protection/>
    </xf>
    <xf numFmtId="0" fontId="9" fillId="5" borderId="62" xfId="0" applyFont="1" applyFill="1" applyBorder="1" applyAlignment="1" applyProtection="1">
      <alignment/>
      <protection/>
    </xf>
    <xf numFmtId="9" fontId="9" fillId="5" borderId="94" xfId="0" applyNumberFormat="1" applyFont="1" applyFill="1" applyBorder="1" applyAlignment="1" applyProtection="1">
      <alignment/>
      <protection/>
    </xf>
    <xf numFmtId="0" fontId="9" fillId="5" borderId="95" xfId="0" applyFont="1" applyFill="1" applyBorder="1" applyAlignment="1" applyProtection="1">
      <alignment/>
      <protection/>
    </xf>
    <xf numFmtId="0" fontId="0" fillId="5" borderId="44" xfId="0" applyFont="1" applyFill="1" applyBorder="1" applyAlignment="1" applyProtection="1">
      <alignment/>
      <protection/>
    </xf>
    <xf numFmtId="0" fontId="0" fillId="5" borderId="5" xfId="0" applyFont="1" applyFill="1" applyBorder="1" applyAlignment="1" applyProtection="1">
      <alignment/>
      <protection/>
    </xf>
    <xf numFmtId="0" fontId="0" fillId="5" borderId="33" xfId="0" applyFont="1" applyFill="1" applyBorder="1" applyAlignment="1" applyProtection="1">
      <alignment/>
      <protection/>
    </xf>
    <xf numFmtId="0" fontId="0" fillId="0" borderId="79" xfId="0" applyBorder="1" applyAlignment="1" applyProtection="1">
      <alignment/>
      <protection/>
    </xf>
    <xf numFmtId="164" fontId="15" fillId="5" borderId="1" xfId="0" applyNumberFormat="1" applyFont="1" applyFill="1" applyBorder="1" applyAlignment="1" applyProtection="1">
      <alignment horizontal="center" vertical="center"/>
      <protection/>
    </xf>
    <xf numFmtId="0" fontId="18" fillId="5" borderId="96" xfId="0" applyFont="1" applyFill="1" applyBorder="1" applyAlignment="1" applyProtection="1">
      <alignment/>
      <protection/>
    </xf>
    <xf numFmtId="0" fontId="7" fillId="5" borderId="79" xfId="0" applyFont="1" applyFill="1" applyBorder="1" applyAlignment="1" applyProtection="1">
      <alignment horizontal="center" vertical="center" wrapText="1"/>
      <protection/>
    </xf>
    <xf numFmtId="0" fontId="0" fillId="5" borderId="97" xfId="0" applyFill="1" applyBorder="1" applyAlignment="1" applyProtection="1">
      <alignment/>
      <protection/>
    </xf>
    <xf numFmtId="0" fontId="0" fillId="5" borderId="98" xfId="0" applyFill="1" applyBorder="1" applyAlignment="1" applyProtection="1">
      <alignment/>
      <protection/>
    </xf>
    <xf numFmtId="0" fontId="8" fillId="8" borderId="19" xfId="0" applyFont="1" applyFill="1" applyBorder="1" applyAlignment="1" applyProtection="1">
      <alignment horizontal="left" vertical="center"/>
      <protection/>
    </xf>
    <xf numFmtId="1" fontId="6" fillId="8" borderId="21" xfId="0" applyNumberFormat="1" applyFont="1" applyFill="1" applyBorder="1" applyAlignment="1" applyProtection="1">
      <alignment vertical="center"/>
      <protection/>
    </xf>
    <xf numFmtId="0" fontId="0" fillId="5" borderId="0" xfId="0" applyFill="1" applyAlignment="1" applyProtection="1">
      <alignment horizontal="center" wrapText="1"/>
      <protection/>
    </xf>
    <xf numFmtId="0" fontId="0" fillId="5" borderId="0" xfId="0" applyFont="1" applyFill="1" applyAlignment="1" applyProtection="1">
      <alignment/>
      <protection/>
    </xf>
    <xf numFmtId="170" fontId="13" fillId="5" borderId="0" xfId="0" applyNumberFormat="1" applyFont="1" applyFill="1" applyAlignment="1" applyProtection="1">
      <alignment horizontal="left"/>
      <protection/>
    </xf>
    <xf numFmtId="0" fontId="16" fillId="5" borderId="0" xfId="0" applyFont="1" applyFill="1" applyBorder="1" applyAlignment="1" applyProtection="1">
      <alignment horizontal="left" vertical="center"/>
      <protection/>
    </xf>
    <xf numFmtId="164" fontId="9" fillId="5" borderId="0" xfId="0" applyNumberFormat="1" applyFont="1" applyFill="1" applyBorder="1" applyAlignment="1" applyProtection="1">
      <alignment/>
      <protection/>
    </xf>
    <xf numFmtId="9" fontId="9" fillId="5" borderId="0" xfId="0" applyNumberFormat="1" applyFont="1" applyFill="1" applyBorder="1" applyAlignment="1" applyProtection="1">
      <alignment horizontal="right"/>
      <protection/>
    </xf>
    <xf numFmtId="0" fontId="9" fillId="5" borderId="0" xfId="0" applyFont="1" applyFill="1" applyBorder="1" applyAlignment="1" applyProtection="1">
      <alignment horizontal="right"/>
      <protection/>
    </xf>
    <xf numFmtId="1" fontId="0" fillId="5" borderId="0" xfId="0" applyNumberFormat="1" applyFill="1" applyBorder="1" applyAlignment="1" applyProtection="1">
      <alignment/>
      <protection/>
    </xf>
    <xf numFmtId="9" fontId="0" fillId="5" borderId="0" xfId="0" applyNumberForma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0" fillId="5" borderId="0" xfId="0" applyFill="1" applyBorder="1" applyAlignment="1" applyProtection="1">
      <alignment horizontal="left"/>
      <protection/>
    </xf>
    <xf numFmtId="0" fontId="0" fillId="5" borderId="0" xfId="0" applyFont="1" applyFill="1" applyAlignment="1" applyProtection="1">
      <alignment/>
      <protection/>
    </xf>
    <xf numFmtId="172" fontId="8" fillId="10" borderId="99" xfId="0" applyNumberFormat="1" applyFont="1" applyFill="1" applyBorder="1" applyAlignment="1" applyProtection="1">
      <alignment/>
      <protection/>
    </xf>
    <xf numFmtId="9" fontId="8" fillId="13" borderId="100" xfId="0" applyNumberFormat="1" applyFont="1" applyFill="1" applyBorder="1" applyAlignment="1" applyProtection="1">
      <alignment/>
      <protection/>
    </xf>
    <xf numFmtId="0" fontId="0" fillId="7" borderId="10" xfId="0" applyFont="1" applyFill="1" applyBorder="1" applyAlignment="1" applyProtection="1">
      <alignment/>
      <protection/>
    </xf>
    <xf numFmtId="0" fontId="0" fillId="7" borderId="11" xfId="0" applyFill="1" applyBorder="1" applyAlignment="1" applyProtection="1">
      <alignment/>
      <protection/>
    </xf>
    <xf numFmtId="0" fontId="0" fillId="5" borderId="101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15" fillId="5" borderId="0" xfId="0" applyFont="1" applyFill="1" applyBorder="1" applyAlignment="1" applyProtection="1">
      <alignment horizontal="center"/>
      <protection/>
    </xf>
    <xf numFmtId="9" fontId="6" fillId="0" borderId="17" xfId="24" applyFont="1" applyBorder="1" applyAlignment="1" applyProtection="1">
      <alignment vertical="center"/>
      <protection/>
    </xf>
    <xf numFmtId="9" fontId="6" fillId="0" borderId="13" xfId="24" applyFont="1" applyBorder="1" applyAlignment="1" applyProtection="1">
      <alignment vertical="center"/>
      <protection/>
    </xf>
    <xf numFmtId="9" fontId="6" fillId="0" borderId="51" xfId="24" applyFont="1" applyBorder="1" applyAlignment="1" applyProtection="1">
      <alignment vertical="center"/>
      <protection/>
    </xf>
    <xf numFmtId="9" fontId="6" fillId="0" borderId="63" xfId="24" applyFont="1" applyBorder="1" applyAlignment="1" applyProtection="1">
      <alignment vertical="center"/>
      <protection/>
    </xf>
    <xf numFmtId="0" fontId="6" fillId="17" borderId="102" xfId="0" applyFont="1" applyFill="1" applyBorder="1" applyAlignment="1" applyProtection="1">
      <alignment horizontal="center" vertical="center" wrapText="1"/>
      <protection/>
    </xf>
    <xf numFmtId="0" fontId="6" fillId="17" borderId="24" xfId="0" applyFont="1" applyFill="1" applyBorder="1" applyAlignment="1" applyProtection="1">
      <alignment horizontal="center" vertical="center" wrapText="1"/>
      <protection/>
    </xf>
    <xf numFmtId="0" fontId="6" fillId="18" borderId="99" xfId="0" applyFont="1" applyFill="1" applyBorder="1" applyAlignment="1" applyProtection="1">
      <alignment horizontal="center" vertical="center" wrapText="1"/>
      <protection/>
    </xf>
    <xf numFmtId="0" fontId="6" fillId="18" borderId="23" xfId="0" applyFont="1" applyFill="1" applyBorder="1" applyAlignment="1" applyProtection="1">
      <alignment horizontal="center" vertical="center" wrapText="1"/>
      <protection/>
    </xf>
    <xf numFmtId="0" fontId="6" fillId="7" borderId="102" xfId="0" applyFont="1" applyFill="1" applyBorder="1" applyAlignment="1" applyProtection="1">
      <alignment horizontal="center" vertical="center" wrapText="1"/>
      <protection/>
    </xf>
    <xf numFmtId="0" fontId="6" fillId="7" borderId="24" xfId="0" applyFont="1" applyFill="1" applyBorder="1" applyAlignment="1" applyProtection="1">
      <alignment horizontal="center" vertical="center" wrapText="1"/>
      <protection/>
    </xf>
    <xf numFmtId="9" fontId="9" fillId="8" borderId="103" xfId="0" applyNumberFormat="1" applyFont="1" applyFill="1" applyBorder="1" applyAlignment="1" applyProtection="1">
      <alignment vertical="center"/>
      <protection/>
    </xf>
    <xf numFmtId="9" fontId="9" fillId="8" borderId="104" xfId="0" applyNumberFormat="1" applyFont="1" applyFill="1" applyBorder="1" applyAlignment="1" applyProtection="1">
      <alignment vertical="center"/>
      <protection/>
    </xf>
    <xf numFmtId="9" fontId="8" fillId="8" borderId="103" xfId="0" applyNumberFormat="1" applyFont="1" applyFill="1" applyBorder="1" applyAlignment="1" applyProtection="1">
      <alignment vertical="center"/>
      <protection/>
    </xf>
    <xf numFmtId="9" fontId="8" fillId="8" borderId="104" xfId="0" applyNumberFormat="1" applyFont="1" applyFill="1" applyBorder="1" applyAlignment="1" applyProtection="1">
      <alignment vertical="center"/>
      <protection/>
    </xf>
    <xf numFmtId="9" fontId="8" fillId="8" borderId="49" xfId="0" applyNumberFormat="1" applyFont="1" applyFill="1" applyBorder="1" applyAlignment="1" applyProtection="1">
      <alignment vertical="center"/>
      <protection/>
    </xf>
    <xf numFmtId="9" fontId="8" fillId="8" borderId="52" xfId="0" applyNumberFormat="1" applyFont="1" applyFill="1" applyBorder="1" applyAlignment="1" applyProtection="1">
      <alignment vertical="center"/>
      <protection/>
    </xf>
    <xf numFmtId="9" fontId="6" fillId="0" borderId="17" xfId="0" applyNumberFormat="1" applyFont="1" applyBorder="1" applyAlignment="1" applyProtection="1">
      <alignment vertical="center"/>
      <protection/>
    </xf>
    <xf numFmtId="9" fontId="6" fillId="0" borderId="13" xfId="0" applyNumberFormat="1" applyFont="1" applyBorder="1" applyAlignment="1" applyProtection="1">
      <alignment vertical="center"/>
      <protection/>
    </xf>
    <xf numFmtId="9" fontId="6" fillId="0" borderId="51" xfId="0" applyNumberFormat="1" applyFont="1" applyBorder="1" applyAlignment="1" applyProtection="1">
      <alignment vertical="center"/>
      <protection/>
    </xf>
    <xf numFmtId="9" fontId="6" fillId="0" borderId="63" xfId="0" applyNumberFormat="1" applyFont="1" applyBorder="1" applyAlignment="1" applyProtection="1">
      <alignment vertical="center"/>
      <protection/>
    </xf>
    <xf numFmtId="0" fontId="6" fillId="5" borderId="102" xfId="0" applyFont="1" applyFill="1" applyBorder="1" applyAlignment="1" applyProtection="1">
      <alignment horizontal="center" vertical="center" wrapText="1"/>
      <protection/>
    </xf>
    <xf numFmtId="0" fontId="6" fillId="5" borderId="24" xfId="0" applyFont="1" applyFill="1" applyBorder="1" applyAlignment="1" applyProtection="1">
      <alignment horizontal="center" vertical="center" wrapText="1"/>
      <protection/>
    </xf>
    <xf numFmtId="0" fontId="6" fillId="4" borderId="99" xfId="0" applyFont="1" applyFill="1" applyBorder="1" applyAlignment="1" applyProtection="1">
      <alignment horizontal="center" vertical="center" wrapText="1"/>
      <protection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6" fillId="6" borderId="99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23" borderId="105" xfId="0" applyFont="1" applyFill="1" applyBorder="1" applyAlignment="1" applyProtection="1">
      <alignment horizontal="center" vertical="center" wrapText="1"/>
      <protection/>
    </xf>
    <xf numFmtId="0" fontId="6" fillId="23" borderId="60" xfId="0" applyFont="1" applyFill="1" applyBorder="1" applyAlignment="1" applyProtection="1">
      <alignment horizontal="center" vertical="center" wrapText="1"/>
      <protection/>
    </xf>
    <xf numFmtId="0" fontId="6" fillId="26" borderId="106" xfId="0" applyFont="1" applyFill="1" applyBorder="1" applyAlignment="1" applyProtection="1">
      <alignment horizontal="center" vertical="center" wrapText="1"/>
      <protection/>
    </xf>
    <xf numFmtId="0" fontId="6" fillId="26" borderId="61" xfId="0" applyFont="1" applyFill="1" applyBorder="1" applyAlignment="1" applyProtection="1">
      <alignment horizontal="center" vertical="center" wrapText="1"/>
      <protection/>
    </xf>
    <xf numFmtId="0" fontId="6" fillId="19" borderId="99" xfId="0" applyFont="1" applyFill="1" applyBorder="1" applyAlignment="1" applyProtection="1">
      <alignment horizontal="center" vertical="center" wrapText="1"/>
      <protection/>
    </xf>
    <xf numFmtId="0" fontId="6" fillId="19" borderId="23" xfId="0" applyFont="1" applyFill="1" applyBorder="1" applyAlignment="1" applyProtection="1">
      <alignment horizontal="center" vertical="center" wrapText="1"/>
      <protection/>
    </xf>
    <xf numFmtId="0" fontId="6" fillId="12" borderId="102" xfId="0" applyFont="1" applyFill="1" applyBorder="1" applyAlignment="1" applyProtection="1">
      <alignment horizontal="center" vertical="center" wrapText="1"/>
      <protection/>
    </xf>
    <xf numFmtId="0" fontId="6" fillId="12" borderId="24" xfId="0" applyFont="1" applyFill="1" applyBorder="1" applyAlignment="1" applyProtection="1">
      <alignment horizontal="center" vertical="center" wrapText="1"/>
      <protection/>
    </xf>
    <xf numFmtId="0" fontId="6" fillId="7" borderId="106" xfId="0" applyFont="1" applyFill="1" applyBorder="1" applyAlignment="1" applyProtection="1">
      <alignment horizontal="center" vertical="center" wrapText="1"/>
      <protection/>
    </xf>
    <xf numFmtId="0" fontId="6" fillId="7" borderId="61" xfId="0" applyFont="1" applyFill="1" applyBorder="1" applyAlignment="1" applyProtection="1">
      <alignment horizontal="center" vertical="center" wrapText="1"/>
      <protection/>
    </xf>
    <xf numFmtId="0" fontId="27" fillId="34" borderId="99" xfId="0" applyFont="1" applyFill="1" applyBorder="1" applyAlignment="1" applyProtection="1">
      <alignment horizontal="center" vertical="center" wrapText="1"/>
      <protection/>
    </xf>
    <xf numFmtId="0" fontId="27" fillId="34" borderId="23" xfId="0" applyFont="1" applyFill="1" applyBorder="1" applyAlignment="1" applyProtection="1">
      <alignment horizontal="center" vertical="center" wrapText="1"/>
      <protection/>
    </xf>
    <xf numFmtId="9" fontId="9" fillId="8" borderId="65" xfId="0" applyNumberFormat="1" applyFont="1" applyFill="1" applyBorder="1" applyAlignment="1" applyProtection="1">
      <alignment vertical="center"/>
      <protection/>
    </xf>
    <xf numFmtId="9" fontId="9" fillId="8" borderId="66" xfId="0" applyNumberFormat="1" applyFont="1" applyFill="1" applyBorder="1" applyAlignment="1" applyProtection="1">
      <alignment vertical="center"/>
      <protection/>
    </xf>
    <xf numFmtId="0" fontId="6" fillId="25" borderId="105" xfId="0" applyFont="1" applyFill="1" applyBorder="1" applyAlignment="1" applyProtection="1">
      <alignment horizontal="center" vertical="center" wrapText="1"/>
      <protection/>
    </xf>
    <xf numFmtId="0" fontId="6" fillId="25" borderId="60" xfId="0" applyFont="1" applyFill="1" applyBorder="1" applyAlignment="1" applyProtection="1">
      <alignment horizontal="center" vertical="center" wrapText="1"/>
      <protection/>
    </xf>
    <xf numFmtId="0" fontId="6" fillId="5" borderId="106" xfId="0" applyFont="1" applyFill="1" applyBorder="1" applyAlignment="1" applyProtection="1">
      <alignment horizontal="center" vertical="center" wrapText="1"/>
      <protection/>
    </xf>
    <xf numFmtId="0" fontId="6" fillId="5" borderId="61" xfId="0" applyFont="1" applyFill="1" applyBorder="1" applyAlignment="1" applyProtection="1">
      <alignment horizontal="center" vertical="center" wrapText="1"/>
      <protection/>
    </xf>
    <xf numFmtId="0" fontId="6" fillId="15" borderId="102" xfId="0" applyFont="1" applyFill="1" applyBorder="1" applyAlignment="1" applyProtection="1">
      <alignment horizontal="center" vertical="center" wrapText="1"/>
      <protection/>
    </xf>
    <xf numFmtId="0" fontId="6" fillId="15" borderId="24" xfId="0" applyFont="1" applyFill="1" applyBorder="1" applyAlignment="1" applyProtection="1">
      <alignment horizontal="center" vertical="center" wrapText="1"/>
      <protection/>
    </xf>
    <xf numFmtId="0" fontId="6" fillId="14" borderId="99" xfId="0" applyFont="1" applyFill="1" applyBorder="1" applyAlignment="1" applyProtection="1">
      <alignment horizontal="center" vertical="center" wrapText="1"/>
      <protection/>
    </xf>
    <xf numFmtId="0" fontId="6" fillId="14" borderId="23" xfId="0" applyFont="1" applyFill="1" applyBorder="1" applyAlignment="1" applyProtection="1">
      <alignment horizontal="center" vertical="center" wrapText="1"/>
      <protection/>
    </xf>
    <xf numFmtId="0" fontId="6" fillId="24" borderId="106" xfId="0" applyFont="1" applyFill="1" applyBorder="1" applyAlignment="1" applyProtection="1">
      <alignment horizontal="center" vertical="center" wrapText="1"/>
      <protection/>
    </xf>
    <xf numFmtId="0" fontId="6" fillId="24" borderId="61" xfId="0" applyFont="1" applyFill="1" applyBorder="1" applyAlignment="1" applyProtection="1">
      <alignment horizontal="center" vertical="center" wrapText="1"/>
      <protection/>
    </xf>
    <xf numFmtId="0" fontId="6" fillId="16" borderId="99" xfId="0" applyFont="1" applyFill="1" applyBorder="1" applyAlignment="1" applyProtection="1">
      <alignment horizontal="center" vertical="center" wrapText="1"/>
      <protection/>
    </xf>
    <xf numFmtId="0" fontId="6" fillId="16" borderId="23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 applyProtection="1">
      <alignment horizontal="left"/>
      <protection locked="0"/>
    </xf>
    <xf numFmtId="0" fontId="0" fillId="5" borderId="78" xfId="0" applyFill="1" applyBorder="1" applyAlignment="1" applyProtection="1">
      <alignment horizontal="left"/>
      <protection locked="0"/>
    </xf>
    <xf numFmtId="0" fontId="21" fillId="0" borderId="64" xfId="0" applyFont="1" applyFill="1" applyBorder="1" applyAlignment="1" applyProtection="1">
      <alignment horizontal="left" vertical="center"/>
      <protection/>
    </xf>
    <xf numFmtId="0" fontId="20" fillId="0" borderId="107" xfId="0" applyFont="1" applyFill="1" applyBorder="1" applyAlignment="1" applyProtection="1">
      <alignment vertical="center"/>
      <protection/>
    </xf>
    <xf numFmtId="0" fontId="6" fillId="11" borderId="102" xfId="0" applyFont="1" applyFill="1" applyBorder="1" applyAlignment="1" applyProtection="1">
      <alignment horizontal="center" vertical="center" wrapText="1"/>
      <protection/>
    </xf>
    <xf numFmtId="0" fontId="6" fillId="11" borderId="24" xfId="0" applyFont="1" applyFill="1" applyBorder="1" applyAlignment="1" applyProtection="1">
      <alignment horizontal="center" vertical="center" wrapText="1"/>
      <protection/>
    </xf>
    <xf numFmtId="0" fontId="20" fillId="0" borderId="79" xfId="0" applyFont="1" applyFill="1" applyBorder="1" applyAlignment="1" applyProtection="1">
      <alignment vertical="center"/>
      <protection/>
    </xf>
    <xf numFmtId="0" fontId="19" fillId="0" borderId="64" xfId="0" applyFont="1" applyFill="1" applyBorder="1" applyAlignment="1" applyProtection="1">
      <alignment horizontal="left" vertical="center"/>
      <protection/>
    </xf>
    <xf numFmtId="0" fontId="7" fillId="5" borderId="64" xfId="0" applyFont="1" applyFill="1" applyBorder="1" applyAlignment="1" applyProtection="1">
      <alignment horizontal="center" vertical="center" wrapText="1"/>
      <protection/>
    </xf>
    <xf numFmtId="0" fontId="7" fillId="5" borderId="79" xfId="0" applyFont="1" applyFill="1" applyBorder="1" applyAlignment="1" applyProtection="1">
      <alignment horizontal="center" vertical="center" wrapText="1"/>
      <protection/>
    </xf>
    <xf numFmtId="0" fontId="6" fillId="3" borderId="102" xfId="0" applyFont="1" applyFill="1" applyBorder="1" applyAlignment="1" applyProtection="1">
      <alignment horizontal="center" vertical="center" wrapText="1"/>
      <protection/>
    </xf>
    <xf numFmtId="0" fontId="6" fillId="3" borderId="24" xfId="0" applyFont="1" applyFill="1" applyBorder="1" applyAlignment="1" applyProtection="1">
      <alignment horizontal="center" vertical="center" wrapText="1"/>
      <protection/>
    </xf>
    <xf numFmtId="0" fontId="6" fillId="21" borderId="105" xfId="0" applyFont="1" applyFill="1" applyBorder="1" applyAlignment="1" applyProtection="1">
      <alignment horizontal="center" vertical="center" wrapText="1"/>
      <protection/>
    </xf>
    <xf numFmtId="0" fontId="6" fillId="21" borderId="60" xfId="0" applyFont="1" applyFill="1" applyBorder="1" applyAlignment="1" applyProtection="1">
      <alignment horizontal="center" vertical="center" wrapText="1"/>
      <protection/>
    </xf>
    <xf numFmtId="0" fontId="8" fillId="20" borderId="106" xfId="0" applyFont="1" applyFill="1" applyBorder="1" applyAlignment="1" applyProtection="1">
      <alignment horizontal="center" vertical="center" wrapText="1"/>
      <protection/>
    </xf>
    <xf numFmtId="0" fontId="8" fillId="20" borderId="61" xfId="0" applyFont="1" applyFill="1" applyBorder="1" applyAlignment="1" applyProtection="1">
      <alignment horizontal="center" vertical="center" wrapText="1"/>
      <protection/>
    </xf>
    <xf numFmtId="0" fontId="6" fillId="22" borderId="105" xfId="0" applyFont="1" applyFill="1" applyBorder="1" applyAlignment="1" applyProtection="1">
      <alignment horizontal="center" vertical="center" wrapText="1"/>
      <protection/>
    </xf>
    <xf numFmtId="0" fontId="6" fillId="22" borderId="60" xfId="0" applyFont="1" applyFill="1" applyBorder="1" applyAlignment="1" applyProtection="1">
      <alignment horizontal="center" vertical="center" wrapText="1"/>
      <protection/>
    </xf>
    <xf numFmtId="0" fontId="6" fillId="20" borderId="106" xfId="0" applyFont="1" applyFill="1" applyBorder="1" applyAlignment="1" applyProtection="1">
      <alignment horizontal="center" vertical="center" wrapText="1"/>
      <protection/>
    </xf>
    <xf numFmtId="0" fontId="6" fillId="20" borderId="61" xfId="0" applyFont="1" applyFill="1" applyBorder="1" applyAlignment="1" applyProtection="1">
      <alignment horizontal="center" vertical="center" wrapText="1"/>
      <protection/>
    </xf>
    <xf numFmtId="0" fontId="27" fillId="35" borderId="106" xfId="0" applyFont="1" applyFill="1" applyBorder="1" applyAlignment="1" applyProtection="1">
      <alignment horizontal="center" vertical="center" wrapText="1"/>
      <protection/>
    </xf>
    <xf numFmtId="0" fontId="27" fillId="35" borderId="61" xfId="0" applyFont="1" applyFill="1" applyBorder="1" applyAlignment="1" applyProtection="1">
      <alignment horizontal="center" vertical="center" wrapText="1"/>
      <protection/>
    </xf>
    <xf numFmtId="0" fontId="27" fillId="34" borderId="105" xfId="0" applyFont="1" applyFill="1" applyBorder="1" applyAlignment="1" applyProtection="1">
      <alignment horizontal="center" vertical="center" wrapText="1"/>
      <protection/>
    </xf>
    <xf numFmtId="0" fontId="27" fillId="34" borderId="60" xfId="0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 2 2" xfId="20"/>
    <cellStyle name="Normal 3" xfId="21"/>
    <cellStyle name="Normal 5" xfId="22"/>
    <cellStyle name="Normal 6" xfId="23"/>
    <cellStyle name="Percent" xfId="24"/>
    <cellStyle name="Percent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</xdr:row>
      <xdr:rowOff>809625</xdr:rowOff>
    </xdr:from>
    <xdr:to>
      <xdr:col>1</xdr:col>
      <xdr:colOff>1038225</xdr:colOff>
      <xdr:row>5</xdr:row>
      <xdr:rowOff>1190625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180975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1409700</xdr:colOff>
      <xdr:row>5</xdr:row>
      <xdr:rowOff>314325</xdr:rowOff>
    </xdr:from>
    <xdr:to>
      <xdr:col>2</xdr:col>
      <xdr:colOff>266700</xdr:colOff>
      <xdr:row>5</xdr:row>
      <xdr:rowOff>942975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1571625" y="1314450"/>
          <a:ext cx="800100" cy="619125"/>
          <a:chOff x="-3200400" y="609600"/>
          <a:chExt cx="2819400" cy="2819400"/>
        </a:xfrm>
        <a:solidFill>
          <a:srgbClr val="FFFFFF"/>
        </a:solidFill>
      </xdr:grpSpPr>
      <xdr:sp>
        <xdr:nvSpPr>
          <xdr:cNvPr id="3" name="Oval 8"/>
          <xdr:cNvSpPr>
            <a:spLocks/>
          </xdr:cNvSpPr>
        </xdr:nvSpPr>
        <xdr:spPr>
          <a:xfrm>
            <a:off x="-3124276" y="628631"/>
            <a:ext cx="2591029" cy="76124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"/>
          <xdr:cNvSpPr>
            <a:spLocks/>
          </xdr:cNvSpPr>
        </xdr:nvSpPr>
        <xdr:spPr>
          <a:xfrm>
            <a:off x="-3048152" y="685724"/>
            <a:ext cx="2514905" cy="2667152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0"/>
          <xdr:cNvSpPr>
            <a:spLocks/>
          </xdr:cNvSpPr>
        </xdr:nvSpPr>
        <xdr:spPr>
          <a:xfrm>
            <a:off x="-3105245" y="3314814"/>
            <a:ext cx="2591029" cy="76124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11" descr="\\FILESERVER1\Files\public\UCD Anamix Junior Apollo\UCD_Anamix_Junior.jpg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10417" t="9721" r="12500" b="13194"/>
          <a:stretch>
            <a:fillRect/>
          </a:stretch>
        </xdr:blipFill>
        <xdr:spPr>
          <a:xfrm>
            <a:off x="-3200400" y="609600"/>
            <a:ext cx="2819400" cy="28194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2" descr="\\FILESERVER1\Files\public\UCD Anamix Junior Apollo\UCD_Anamix_Junior.jpg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20834" t="68055" r="60415" b="27778"/>
          <a:stretch>
            <a:fillRect/>
          </a:stretch>
        </xdr:blipFill>
        <xdr:spPr>
          <a:xfrm>
            <a:off x="-2819781" y="2910230"/>
            <a:ext cx="685819" cy="15224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17"/>
          <xdr:cNvSpPr txBox="1">
            <a:spLocks noChangeArrowheads="1"/>
          </xdr:cNvSpPr>
        </xdr:nvSpPr>
        <xdr:spPr>
          <a:xfrm>
            <a:off x="-2935376" y="2949702"/>
            <a:ext cx="1189787" cy="3228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3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Unflavored</a:t>
            </a:r>
          </a:p>
        </xdr:txBody>
      </xdr:sp>
    </xdr:grpSp>
    <xdr:clientData/>
  </xdr:twoCellAnchor>
  <xdr:twoCellAnchor>
    <xdr:from>
      <xdr:col>1</xdr:col>
      <xdr:colOff>1619250</xdr:colOff>
      <xdr:row>5</xdr:row>
      <xdr:rowOff>447675</xdr:rowOff>
    </xdr:from>
    <xdr:to>
      <xdr:col>2</xdr:col>
      <xdr:colOff>523875</xdr:colOff>
      <xdr:row>5</xdr:row>
      <xdr:rowOff>1114425</xdr:rowOff>
    </xdr:to>
    <xdr:grpSp>
      <xdr:nvGrpSpPr>
        <xdr:cNvPr id="9" name="Group 3"/>
        <xdr:cNvGrpSpPr>
          <a:grpSpLocks noChangeAspect="1"/>
        </xdr:cNvGrpSpPr>
      </xdr:nvGrpSpPr>
      <xdr:grpSpPr>
        <a:xfrm>
          <a:off x="1781175" y="1447800"/>
          <a:ext cx="847725" cy="666750"/>
          <a:chOff x="-3200400" y="609600"/>
          <a:chExt cx="2819400" cy="2819400"/>
        </a:xfrm>
        <a:solidFill>
          <a:srgbClr val="FFFFFF"/>
        </a:solidFill>
      </xdr:grpSpPr>
      <xdr:sp>
        <xdr:nvSpPr>
          <xdr:cNvPr id="10" name="Oval 4"/>
          <xdr:cNvSpPr>
            <a:spLocks/>
          </xdr:cNvSpPr>
        </xdr:nvSpPr>
        <xdr:spPr>
          <a:xfrm>
            <a:off x="-3124276" y="628631"/>
            <a:ext cx="2591029" cy="76124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5"/>
          <xdr:cNvSpPr>
            <a:spLocks/>
          </xdr:cNvSpPr>
        </xdr:nvSpPr>
        <xdr:spPr>
          <a:xfrm>
            <a:off x="-3048152" y="685724"/>
            <a:ext cx="2514905" cy="2667152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6"/>
          <xdr:cNvSpPr>
            <a:spLocks/>
          </xdr:cNvSpPr>
        </xdr:nvSpPr>
        <xdr:spPr>
          <a:xfrm>
            <a:off x="-3105245" y="3314814"/>
            <a:ext cx="2591029" cy="76124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3" name="Picture 7" descr="\\FILESERVER1\Files\public\UCD Anamix Junior Apollo\UCD_Anamix_Junior.jpg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10417" t="9721" r="12500" b="13194"/>
          <a:stretch>
            <a:fillRect/>
          </a:stretch>
        </xdr:blipFill>
        <xdr:spPr>
          <a:xfrm>
            <a:off x="-3200400" y="609600"/>
            <a:ext cx="2819400" cy="28194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7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" sqref="B2:C3"/>
    </sheetView>
  </sheetViews>
  <sheetFormatPr defaultColWidth="8.8515625" defaultRowHeight="12.75"/>
  <cols>
    <col min="1" max="1" width="2.421875" style="1" customWidth="1"/>
    <col min="2" max="2" width="29.140625" style="1" customWidth="1"/>
    <col min="3" max="3" width="9.00390625" style="1" customWidth="1"/>
    <col min="4" max="4" width="8.140625" style="1" bestFit="1" customWidth="1"/>
    <col min="5" max="5" width="10.421875" style="1" customWidth="1"/>
    <col min="6" max="6" width="8.8515625" style="1" bestFit="1" customWidth="1"/>
    <col min="7" max="7" width="10.8515625" style="1" bestFit="1" customWidth="1"/>
    <col min="8" max="8" width="9.00390625" style="1" bestFit="1" customWidth="1"/>
    <col min="9" max="9" width="10.00390625" style="1" bestFit="1" customWidth="1"/>
    <col min="10" max="10" width="9.00390625" style="1" bestFit="1" customWidth="1"/>
    <col min="11" max="11" width="10.00390625" style="1" bestFit="1" customWidth="1"/>
    <col min="12" max="13" width="11.7109375" style="1" bestFit="1" customWidth="1"/>
    <col min="14" max="15" width="11.28125" style="1" bestFit="1" customWidth="1"/>
    <col min="16" max="16" width="12.421875" style="1" bestFit="1" customWidth="1"/>
    <col min="17" max="17" width="11.8515625" style="1" bestFit="1" customWidth="1"/>
    <col min="18" max="18" width="11.00390625" style="1" bestFit="1" customWidth="1"/>
    <col min="19" max="19" width="11.8515625" style="1" bestFit="1" customWidth="1"/>
    <col min="20" max="20" width="11.140625" style="1" bestFit="1" customWidth="1"/>
    <col min="21" max="21" width="12.00390625" style="1" bestFit="1" customWidth="1"/>
    <col min="22" max="22" width="11.140625" style="1" bestFit="1" customWidth="1"/>
    <col min="23" max="23" width="12.140625" style="1" bestFit="1" customWidth="1"/>
    <col min="24" max="24" width="11.00390625" style="1" bestFit="1" customWidth="1"/>
    <col min="25" max="27" width="10.7109375" style="1" customWidth="1"/>
    <col min="28" max="29" width="12.00390625" style="1" bestFit="1" customWidth="1"/>
    <col min="30" max="30" width="11.8515625" style="1" customWidth="1"/>
    <col min="31" max="31" width="12.140625" style="1" bestFit="1" customWidth="1"/>
    <col min="32" max="35" width="10.7109375" style="1" customWidth="1"/>
    <col min="36" max="37" width="12.00390625" style="1" bestFit="1" customWidth="1"/>
    <col min="38" max="38" width="11.8515625" style="1" customWidth="1"/>
    <col min="39" max="39" width="12.140625" style="1" bestFit="1" customWidth="1"/>
    <col min="40" max="43" width="10.7109375" style="1" customWidth="1"/>
    <col min="44" max="44" width="9.421875" style="1" bestFit="1" customWidth="1"/>
    <col min="45" max="45" width="9.8515625" style="1" bestFit="1" customWidth="1"/>
    <col min="46" max="46" width="9.421875" style="1" bestFit="1" customWidth="1"/>
    <col min="47" max="47" width="10.421875" style="1" bestFit="1" customWidth="1"/>
    <col min="48" max="16384" width="8.8515625" style="1" customWidth="1"/>
  </cols>
  <sheetData>
    <row r="1" spans="1:48" ht="15">
      <c r="A1" s="327"/>
      <c r="B1" s="433" t="s">
        <v>91</v>
      </c>
      <c r="C1" s="433"/>
      <c r="D1" s="320" t="s">
        <v>23</v>
      </c>
      <c r="E1" s="321"/>
      <c r="F1" s="321"/>
      <c r="G1" s="321"/>
      <c r="H1" s="321"/>
      <c r="I1" s="321"/>
      <c r="J1" s="321"/>
      <c r="K1" s="322"/>
      <c r="L1" s="321"/>
      <c r="M1" s="321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</row>
    <row r="2" spans="1:48" ht="15">
      <c r="A2" s="327"/>
      <c r="B2" s="486"/>
      <c r="C2" s="486"/>
      <c r="D2" s="320" t="s">
        <v>22</v>
      </c>
      <c r="E2" s="321"/>
      <c r="F2" s="321"/>
      <c r="G2" s="321"/>
      <c r="H2" s="321"/>
      <c r="I2" s="321"/>
      <c r="J2" s="321"/>
      <c r="K2" s="322"/>
      <c r="L2" s="321"/>
      <c r="M2" s="321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</row>
    <row r="3" spans="1:48" ht="18" customHeight="1" thickBot="1">
      <c r="A3" s="327"/>
      <c r="B3" s="487"/>
      <c r="C3" s="487"/>
      <c r="D3" s="333"/>
      <c r="E3" s="327"/>
      <c r="F3" s="328"/>
      <c r="G3" s="328"/>
      <c r="H3" s="321"/>
      <c r="I3" s="328"/>
      <c r="J3" s="328"/>
      <c r="K3" s="329"/>
      <c r="L3" s="328"/>
      <c r="M3" s="328"/>
      <c r="N3" s="328"/>
      <c r="O3" s="328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7"/>
    </row>
    <row r="4" spans="1:48" ht="18" customHeight="1" hidden="1" thickBot="1">
      <c r="A4" s="327"/>
      <c r="B4" s="323"/>
      <c r="C4" s="407"/>
      <c r="D4" s="408">
        <v>40</v>
      </c>
      <c r="E4" s="409" t="s">
        <v>66</v>
      </c>
      <c r="F4" s="330"/>
      <c r="G4" s="330"/>
      <c r="H4" s="333"/>
      <c r="I4" s="330"/>
      <c r="J4" s="330"/>
      <c r="K4" s="330"/>
      <c r="L4" s="330"/>
      <c r="M4" s="330"/>
      <c r="N4" s="330"/>
      <c r="O4" s="330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27"/>
    </row>
    <row r="5" spans="1:48" ht="30.75" customHeight="1" thickBot="1">
      <c r="A5" s="327"/>
      <c r="B5" s="2" t="s">
        <v>69</v>
      </c>
      <c r="C5" s="104">
        <v>12</v>
      </c>
      <c r="D5" s="494" t="s">
        <v>92</v>
      </c>
      <c r="E5" s="495"/>
      <c r="F5" s="495"/>
      <c r="G5" s="495"/>
      <c r="H5" s="495"/>
      <c r="I5" s="495"/>
      <c r="J5" s="495"/>
      <c r="K5" s="495"/>
      <c r="L5" s="495"/>
      <c r="M5" s="495"/>
      <c r="N5" s="410"/>
      <c r="O5" s="410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2"/>
      <c r="AV5" s="327"/>
    </row>
    <row r="6" spans="1:48" s="14" customFormat="1" ht="93.75" customHeight="1" thickBot="1">
      <c r="A6" s="415"/>
      <c r="B6" s="251" t="s">
        <v>19</v>
      </c>
      <c r="C6" s="331"/>
      <c r="D6" s="470" t="s">
        <v>70</v>
      </c>
      <c r="E6" s="506" t="s">
        <v>71</v>
      </c>
      <c r="F6" s="508" t="s">
        <v>8</v>
      </c>
      <c r="G6" s="506" t="s">
        <v>11</v>
      </c>
      <c r="H6" s="502" t="s">
        <v>145</v>
      </c>
      <c r="I6" s="504" t="s">
        <v>61</v>
      </c>
      <c r="J6" s="502" t="s">
        <v>146</v>
      </c>
      <c r="K6" s="500" t="s">
        <v>62</v>
      </c>
      <c r="L6" s="498" t="s">
        <v>147</v>
      </c>
      <c r="M6" s="496" t="s">
        <v>148</v>
      </c>
      <c r="N6" s="456" t="s">
        <v>149</v>
      </c>
      <c r="O6" s="476" t="s">
        <v>150</v>
      </c>
      <c r="P6" s="474" t="s">
        <v>151</v>
      </c>
      <c r="Q6" s="490" t="s">
        <v>152</v>
      </c>
      <c r="R6" s="456" t="s">
        <v>153</v>
      </c>
      <c r="S6" s="454" t="s">
        <v>154</v>
      </c>
      <c r="T6" s="480" t="s">
        <v>56</v>
      </c>
      <c r="U6" s="478" t="s">
        <v>55</v>
      </c>
      <c r="V6" s="484" t="s">
        <v>54</v>
      </c>
      <c r="W6" s="482" t="s">
        <v>53</v>
      </c>
      <c r="X6" s="460" t="s">
        <v>155</v>
      </c>
      <c r="Y6" s="466" t="s">
        <v>156</v>
      </c>
      <c r="Z6" s="456" t="s">
        <v>157</v>
      </c>
      <c r="AA6" s="454" t="s">
        <v>158</v>
      </c>
      <c r="AB6" s="480" t="s">
        <v>48</v>
      </c>
      <c r="AC6" s="478" t="s">
        <v>47</v>
      </c>
      <c r="AD6" s="464" t="s">
        <v>46</v>
      </c>
      <c r="AE6" s="462" t="s">
        <v>45</v>
      </c>
      <c r="AF6" s="460" t="s">
        <v>159</v>
      </c>
      <c r="AG6" s="466" t="s">
        <v>160</v>
      </c>
      <c r="AH6" s="458" t="s">
        <v>161</v>
      </c>
      <c r="AI6" s="442" t="s">
        <v>162</v>
      </c>
      <c r="AJ6" s="440" t="s">
        <v>49</v>
      </c>
      <c r="AK6" s="438" t="s">
        <v>50</v>
      </c>
      <c r="AL6" s="464" t="s">
        <v>51</v>
      </c>
      <c r="AM6" s="462" t="s">
        <v>52</v>
      </c>
      <c r="AN6" s="460" t="s">
        <v>163</v>
      </c>
      <c r="AO6" s="466" t="s">
        <v>164</v>
      </c>
      <c r="AP6" s="458" t="s">
        <v>165</v>
      </c>
      <c r="AQ6" s="468" t="s">
        <v>166</v>
      </c>
      <c r="AR6" s="460" t="s">
        <v>167</v>
      </c>
      <c r="AS6" s="466" t="s">
        <v>168</v>
      </c>
      <c r="AT6" s="458" t="s">
        <v>169</v>
      </c>
      <c r="AU6" s="442" t="s">
        <v>170</v>
      </c>
      <c r="AV6" s="415"/>
    </row>
    <row r="7" spans="1:48" ht="13.5" customHeight="1">
      <c r="A7" s="327"/>
      <c r="B7" s="429" t="s">
        <v>15</v>
      </c>
      <c r="C7" s="430">
        <f>C5/12*100</f>
        <v>100</v>
      </c>
      <c r="D7" s="471"/>
      <c r="E7" s="507"/>
      <c r="F7" s="509"/>
      <c r="G7" s="507"/>
      <c r="H7" s="503"/>
      <c r="I7" s="505"/>
      <c r="J7" s="503"/>
      <c r="K7" s="501"/>
      <c r="L7" s="499"/>
      <c r="M7" s="497"/>
      <c r="N7" s="457"/>
      <c r="O7" s="477"/>
      <c r="P7" s="475"/>
      <c r="Q7" s="491"/>
      <c r="R7" s="457"/>
      <c r="S7" s="455"/>
      <c r="T7" s="481"/>
      <c r="U7" s="479"/>
      <c r="V7" s="485"/>
      <c r="W7" s="483"/>
      <c r="X7" s="461"/>
      <c r="Y7" s="467"/>
      <c r="Z7" s="457"/>
      <c r="AA7" s="455"/>
      <c r="AB7" s="481"/>
      <c r="AC7" s="479"/>
      <c r="AD7" s="465"/>
      <c r="AE7" s="463"/>
      <c r="AF7" s="461"/>
      <c r="AG7" s="467"/>
      <c r="AH7" s="459"/>
      <c r="AI7" s="443"/>
      <c r="AJ7" s="441"/>
      <c r="AK7" s="439"/>
      <c r="AL7" s="465"/>
      <c r="AM7" s="463"/>
      <c r="AN7" s="461"/>
      <c r="AO7" s="467"/>
      <c r="AP7" s="459"/>
      <c r="AQ7" s="469"/>
      <c r="AR7" s="461"/>
      <c r="AS7" s="467"/>
      <c r="AT7" s="459"/>
      <c r="AU7" s="443"/>
      <c r="AV7" s="327"/>
    </row>
    <row r="8" spans="1:48" ht="13.5" customHeight="1" thickBot="1">
      <c r="A8" s="327"/>
      <c r="B8" s="413" t="s">
        <v>57</v>
      </c>
      <c r="C8" s="414">
        <f>C5/12*385</f>
        <v>385</v>
      </c>
      <c r="D8" s="471"/>
      <c r="E8" s="507"/>
      <c r="F8" s="509"/>
      <c r="G8" s="507"/>
      <c r="H8" s="503"/>
      <c r="I8" s="505"/>
      <c r="J8" s="503"/>
      <c r="K8" s="501"/>
      <c r="L8" s="499"/>
      <c r="M8" s="497"/>
      <c r="N8" s="457"/>
      <c r="O8" s="477"/>
      <c r="P8" s="475"/>
      <c r="Q8" s="491"/>
      <c r="R8" s="457"/>
      <c r="S8" s="455"/>
      <c r="T8" s="481"/>
      <c r="U8" s="479"/>
      <c r="V8" s="485"/>
      <c r="W8" s="483"/>
      <c r="X8" s="461"/>
      <c r="Y8" s="467"/>
      <c r="Z8" s="457"/>
      <c r="AA8" s="455"/>
      <c r="AB8" s="481"/>
      <c r="AC8" s="479"/>
      <c r="AD8" s="465"/>
      <c r="AE8" s="463"/>
      <c r="AF8" s="461"/>
      <c r="AG8" s="467"/>
      <c r="AH8" s="459"/>
      <c r="AI8" s="443"/>
      <c r="AJ8" s="441"/>
      <c r="AK8" s="439"/>
      <c r="AL8" s="465"/>
      <c r="AM8" s="463"/>
      <c r="AN8" s="461"/>
      <c r="AO8" s="467"/>
      <c r="AP8" s="459"/>
      <c r="AQ8" s="469"/>
      <c r="AR8" s="461"/>
      <c r="AS8" s="467"/>
      <c r="AT8" s="459"/>
      <c r="AU8" s="443"/>
      <c r="AV8" s="327"/>
    </row>
    <row r="9" spans="1:48" ht="13.5" customHeight="1">
      <c r="A9" s="327"/>
      <c r="B9" s="313" t="s">
        <v>26</v>
      </c>
      <c r="C9" s="339">
        <f>$C$5</f>
        <v>12</v>
      </c>
      <c r="D9" s="357">
        <v>9.1</v>
      </c>
      <c r="E9" s="314">
        <f>C9/D9</f>
        <v>1.3186813186813187</v>
      </c>
      <c r="F9" s="357">
        <v>11</v>
      </c>
      <c r="G9" s="315">
        <f>C9/F9</f>
        <v>1.0909090909090908</v>
      </c>
      <c r="H9" s="358">
        <v>13</v>
      </c>
      <c r="I9" s="316">
        <f>C9/H9</f>
        <v>0.9230769230769231</v>
      </c>
      <c r="J9" s="427">
        <v>19</v>
      </c>
      <c r="K9" s="428">
        <f>C9/J9</f>
        <v>0.631578947368421</v>
      </c>
      <c r="L9" s="358">
        <v>34</v>
      </c>
      <c r="M9" s="38">
        <f>C9/L9</f>
        <v>0.35294117647058826</v>
      </c>
      <c r="N9" s="358">
        <v>34</v>
      </c>
      <c r="O9" s="189">
        <f>C9/N9</f>
        <v>0.35294117647058826</v>
      </c>
      <c r="P9" s="358">
        <v>52</v>
      </c>
      <c r="Q9" s="317">
        <f>C9/P9</f>
        <v>0.23076923076923078</v>
      </c>
      <c r="R9" s="358">
        <v>46</v>
      </c>
      <c r="S9" s="317">
        <f>C9/R9</f>
        <v>0.2608695652173913</v>
      </c>
      <c r="T9" s="358">
        <v>77</v>
      </c>
      <c r="U9" s="317">
        <f>$C9/T9</f>
        <v>0.15584415584415584</v>
      </c>
      <c r="V9" s="358">
        <v>77</v>
      </c>
      <c r="W9" s="318">
        <f>$C9/V9</f>
        <v>0.15584415584415584</v>
      </c>
      <c r="X9" s="358">
        <v>56</v>
      </c>
      <c r="Y9" s="317">
        <f>C9/X9</f>
        <v>0.21428571428571427</v>
      </c>
      <c r="Z9" s="358">
        <v>46</v>
      </c>
      <c r="AA9" s="317">
        <f>C9/Z9</f>
        <v>0.2608695652173913</v>
      </c>
      <c r="AB9" s="358">
        <v>77</v>
      </c>
      <c r="AC9" s="317">
        <f>$C9/AB9</f>
        <v>0.15584415584415584</v>
      </c>
      <c r="AD9" s="358">
        <v>77</v>
      </c>
      <c r="AE9" s="319">
        <f>$C9/AD9</f>
        <v>0.15584415584415584</v>
      </c>
      <c r="AF9" s="358">
        <v>56</v>
      </c>
      <c r="AG9" s="317">
        <f>C9/AF9</f>
        <v>0.21428571428571427</v>
      </c>
      <c r="AH9" s="358">
        <v>46</v>
      </c>
      <c r="AI9" s="317">
        <f>C9/AH9</f>
        <v>0.2608695652173913</v>
      </c>
      <c r="AJ9" s="358">
        <v>77</v>
      </c>
      <c r="AK9" s="317">
        <f>$C9/AJ9</f>
        <v>0.15584415584415584</v>
      </c>
      <c r="AL9" s="358">
        <v>77</v>
      </c>
      <c r="AM9" s="318">
        <f>$C9/AL9</f>
        <v>0.15584415584415584</v>
      </c>
      <c r="AN9" s="358">
        <v>56</v>
      </c>
      <c r="AO9" s="317">
        <f>C9/AN9</f>
        <v>0.21428571428571427</v>
      </c>
      <c r="AP9" s="358">
        <v>46</v>
      </c>
      <c r="AQ9" s="319">
        <f>C9/AP9</f>
        <v>0.2608695652173913</v>
      </c>
      <c r="AR9" s="358">
        <v>56</v>
      </c>
      <c r="AS9" s="317">
        <f>C9/AR9</f>
        <v>0.21428571428571427</v>
      </c>
      <c r="AT9" s="358">
        <v>46</v>
      </c>
      <c r="AU9" s="317">
        <f>C9/AT9</f>
        <v>0.2608695652173913</v>
      </c>
      <c r="AV9" s="327"/>
    </row>
    <row r="10" spans="1:48" s="27" customFormat="1" ht="13.5" customHeight="1">
      <c r="A10" s="327"/>
      <c r="B10" s="23" t="s">
        <v>121</v>
      </c>
      <c r="C10" s="340">
        <f>$C$5/12*17</f>
        <v>17</v>
      </c>
      <c r="D10" s="88">
        <v>31</v>
      </c>
      <c r="E10" s="290">
        <f>C10/D10</f>
        <v>0.5483870967741935</v>
      </c>
      <c r="F10" s="291">
        <v>30</v>
      </c>
      <c r="G10" s="271">
        <f>C10/F10</f>
        <v>0.5666666666666667</v>
      </c>
      <c r="H10" s="152"/>
      <c r="I10" s="116"/>
      <c r="J10" s="152"/>
      <c r="K10" s="153"/>
      <c r="L10" s="131"/>
      <c r="M10" s="24"/>
      <c r="N10" s="16"/>
      <c r="O10" s="186"/>
      <c r="P10" s="209"/>
      <c r="Q10" s="25"/>
      <c r="R10" s="17"/>
      <c r="S10" s="26"/>
      <c r="T10" s="17"/>
      <c r="U10" s="26"/>
      <c r="V10" s="17"/>
      <c r="W10" s="212"/>
      <c r="X10" s="200"/>
      <c r="Y10" s="25"/>
      <c r="Z10" s="17"/>
      <c r="AA10" s="26"/>
      <c r="AB10" s="17"/>
      <c r="AC10" s="26"/>
      <c r="AD10" s="17"/>
      <c r="AE10" s="235"/>
      <c r="AF10" s="209"/>
      <c r="AG10" s="25"/>
      <c r="AH10" s="17"/>
      <c r="AI10" s="26"/>
      <c r="AJ10" s="17"/>
      <c r="AK10" s="26"/>
      <c r="AL10" s="17"/>
      <c r="AM10" s="212"/>
      <c r="AN10" s="200"/>
      <c r="AO10" s="26"/>
      <c r="AP10" s="17"/>
      <c r="AQ10" s="235"/>
      <c r="AR10" s="209"/>
      <c r="AS10" s="26"/>
      <c r="AT10" s="17"/>
      <c r="AU10" s="25"/>
      <c r="AV10" s="327"/>
    </row>
    <row r="11" spans="1:48" s="27" customFormat="1" ht="13.5" customHeight="1" hidden="1">
      <c r="A11" s="327"/>
      <c r="B11" s="93" t="s">
        <v>176</v>
      </c>
      <c r="C11" s="341">
        <f>$C$5/12*17</f>
        <v>17</v>
      </c>
      <c r="D11" s="94"/>
      <c r="E11" s="272"/>
      <c r="F11" s="292"/>
      <c r="G11" s="272"/>
      <c r="H11" s="154"/>
      <c r="I11" s="117"/>
      <c r="J11" s="154"/>
      <c r="K11" s="155"/>
      <c r="L11" s="133"/>
      <c r="M11" s="91"/>
      <c r="N11" s="95"/>
      <c r="O11" s="187"/>
      <c r="P11" s="213"/>
      <c r="Q11" s="97"/>
      <c r="R11" s="96"/>
      <c r="S11" s="98"/>
      <c r="T11" s="96"/>
      <c r="U11" s="98"/>
      <c r="V11" s="96"/>
      <c r="W11" s="214"/>
      <c r="X11" s="201"/>
      <c r="Y11" s="97"/>
      <c r="Z11" s="96"/>
      <c r="AA11" s="98"/>
      <c r="AB11" s="96"/>
      <c r="AC11" s="98"/>
      <c r="AD11" s="96"/>
      <c r="AE11" s="236"/>
      <c r="AF11" s="213"/>
      <c r="AG11" s="97"/>
      <c r="AH11" s="96"/>
      <c r="AI11" s="98"/>
      <c r="AJ11" s="96"/>
      <c r="AK11" s="98"/>
      <c r="AL11" s="96"/>
      <c r="AM11" s="214"/>
      <c r="AN11" s="201"/>
      <c r="AO11" s="98"/>
      <c r="AP11" s="96"/>
      <c r="AQ11" s="236"/>
      <c r="AR11" s="213"/>
      <c r="AS11" s="98"/>
      <c r="AT11" s="96"/>
      <c r="AU11" s="97"/>
      <c r="AV11" s="327"/>
    </row>
    <row r="12" spans="1:48" s="27" customFormat="1" ht="13.5" customHeight="1" hidden="1">
      <c r="A12" s="327"/>
      <c r="B12" s="89" t="s">
        <v>24</v>
      </c>
      <c r="C12" s="342">
        <f>$C$5/12*17</f>
        <v>17</v>
      </c>
      <c r="D12" s="88"/>
      <c r="E12" s="290"/>
      <c r="F12" s="291"/>
      <c r="G12" s="271"/>
      <c r="H12" s="152"/>
      <c r="I12" s="116"/>
      <c r="J12" s="152"/>
      <c r="K12" s="153"/>
      <c r="L12" s="131"/>
      <c r="M12" s="24"/>
      <c r="N12" s="16"/>
      <c r="O12" s="186"/>
      <c r="P12" s="209"/>
      <c r="Q12" s="25"/>
      <c r="R12" s="17"/>
      <c r="S12" s="26"/>
      <c r="T12" s="17"/>
      <c r="U12" s="26"/>
      <c r="V12" s="17"/>
      <c r="W12" s="212"/>
      <c r="X12" s="200"/>
      <c r="Y12" s="25"/>
      <c r="Z12" s="17"/>
      <c r="AA12" s="26"/>
      <c r="AB12" s="17"/>
      <c r="AC12" s="26"/>
      <c r="AD12" s="17"/>
      <c r="AE12" s="235"/>
      <c r="AF12" s="209"/>
      <c r="AG12" s="25"/>
      <c r="AH12" s="17"/>
      <c r="AI12" s="26"/>
      <c r="AJ12" s="17"/>
      <c r="AK12" s="26"/>
      <c r="AL12" s="17"/>
      <c r="AM12" s="212"/>
      <c r="AN12" s="200"/>
      <c r="AO12" s="26"/>
      <c r="AP12" s="17"/>
      <c r="AQ12" s="235"/>
      <c r="AR12" s="209"/>
      <c r="AS12" s="26"/>
      <c r="AT12" s="17"/>
      <c r="AU12" s="25"/>
      <c r="AV12" s="327"/>
    </row>
    <row r="13" spans="1:48" s="27" customFormat="1" ht="13.5" customHeight="1">
      <c r="A13" s="327"/>
      <c r="B13" s="391" t="s">
        <v>12</v>
      </c>
      <c r="C13" s="395">
        <f>$C$5/12*1.9</f>
        <v>1.9</v>
      </c>
      <c r="D13" s="88"/>
      <c r="E13" s="290"/>
      <c r="F13" s="291"/>
      <c r="G13" s="271"/>
      <c r="H13" s="152"/>
      <c r="I13" s="116"/>
      <c r="J13" s="152"/>
      <c r="K13" s="153"/>
      <c r="L13" s="131"/>
      <c r="M13" s="24"/>
      <c r="N13" s="16"/>
      <c r="O13" s="186"/>
      <c r="P13" s="209"/>
      <c r="Q13" s="25"/>
      <c r="R13" s="17"/>
      <c r="S13" s="26"/>
      <c r="T13" s="17"/>
      <c r="U13" s="26"/>
      <c r="V13" s="17"/>
      <c r="W13" s="212"/>
      <c r="X13" s="200"/>
      <c r="Y13" s="25"/>
      <c r="Z13" s="17"/>
      <c r="AA13" s="26"/>
      <c r="AB13" s="17"/>
      <c r="AC13" s="26"/>
      <c r="AD13" s="17"/>
      <c r="AE13" s="235"/>
      <c r="AF13" s="209"/>
      <c r="AG13" s="25"/>
      <c r="AH13" s="17"/>
      <c r="AI13" s="26"/>
      <c r="AJ13" s="17"/>
      <c r="AK13" s="26"/>
      <c r="AL13" s="17"/>
      <c r="AM13" s="212"/>
      <c r="AN13" s="200"/>
      <c r="AO13" s="26"/>
      <c r="AP13" s="17"/>
      <c r="AQ13" s="235"/>
      <c r="AR13" s="209"/>
      <c r="AS13" s="26"/>
      <c r="AT13" s="17"/>
      <c r="AU13" s="25"/>
      <c r="AV13" s="327"/>
    </row>
    <row r="14" spans="1:48" s="27" customFormat="1" ht="13.5" customHeight="1">
      <c r="A14" s="327"/>
      <c r="B14" s="392" t="s">
        <v>13</v>
      </c>
      <c r="C14" s="393">
        <f>$C$5/12*10.8</f>
        <v>10.8</v>
      </c>
      <c r="D14" s="88"/>
      <c r="E14" s="290"/>
      <c r="F14" s="291"/>
      <c r="G14" s="271"/>
      <c r="H14" s="152"/>
      <c r="I14" s="116"/>
      <c r="J14" s="152"/>
      <c r="K14" s="153"/>
      <c r="L14" s="131"/>
      <c r="M14" s="24"/>
      <c r="N14" s="16"/>
      <c r="O14" s="186"/>
      <c r="P14" s="209"/>
      <c r="Q14" s="25"/>
      <c r="R14" s="17"/>
      <c r="S14" s="26"/>
      <c r="T14" s="17"/>
      <c r="U14" s="26"/>
      <c r="V14" s="17"/>
      <c r="W14" s="212"/>
      <c r="X14" s="200"/>
      <c r="Y14" s="25"/>
      <c r="Z14" s="17"/>
      <c r="AA14" s="26"/>
      <c r="AB14" s="17"/>
      <c r="AC14" s="26"/>
      <c r="AD14" s="17"/>
      <c r="AE14" s="235"/>
      <c r="AF14" s="209"/>
      <c r="AG14" s="25"/>
      <c r="AH14" s="17"/>
      <c r="AI14" s="26"/>
      <c r="AJ14" s="17"/>
      <c r="AK14" s="26"/>
      <c r="AL14" s="17"/>
      <c r="AM14" s="212"/>
      <c r="AN14" s="200"/>
      <c r="AO14" s="26"/>
      <c r="AP14" s="17"/>
      <c r="AQ14" s="235"/>
      <c r="AR14" s="209"/>
      <c r="AS14" s="26"/>
      <c r="AT14" s="17"/>
      <c r="AU14" s="25"/>
      <c r="AV14" s="327"/>
    </row>
    <row r="15" spans="1:48" s="27" customFormat="1" ht="13.5" customHeight="1">
      <c r="A15" s="327"/>
      <c r="B15" s="394" t="s">
        <v>14</v>
      </c>
      <c r="C15" s="396">
        <f>$C$5/12*3.5</f>
        <v>3.5</v>
      </c>
      <c r="D15" s="88"/>
      <c r="E15" s="290"/>
      <c r="F15" s="291"/>
      <c r="G15" s="271"/>
      <c r="H15" s="152"/>
      <c r="I15" s="116"/>
      <c r="J15" s="152"/>
      <c r="K15" s="153"/>
      <c r="L15" s="131"/>
      <c r="M15" s="24"/>
      <c r="N15" s="16"/>
      <c r="O15" s="186"/>
      <c r="P15" s="209"/>
      <c r="Q15" s="25"/>
      <c r="R15" s="17"/>
      <c r="S15" s="26"/>
      <c r="T15" s="17"/>
      <c r="U15" s="26"/>
      <c r="V15" s="17"/>
      <c r="W15" s="212"/>
      <c r="X15" s="200"/>
      <c r="Y15" s="25"/>
      <c r="Z15" s="17"/>
      <c r="AA15" s="26"/>
      <c r="AB15" s="17"/>
      <c r="AC15" s="26"/>
      <c r="AD15" s="17"/>
      <c r="AE15" s="235"/>
      <c r="AF15" s="209"/>
      <c r="AG15" s="25"/>
      <c r="AH15" s="17"/>
      <c r="AI15" s="26"/>
      <c r="AJ15" s="17"/>
      <c r="AK15" s="26"/>
      <c r="AL15" s="17"/>
      <c r="AM15" s="212"/>
      <c r="AN15" s="200"/>
      <c r="AO15" s="26"/>
      <c r="AP15" s="17"/>
      <c r="AQ15" s="235"/>
      <c r="AR15" s="209"/>
      <c r="AS15" s="26"/>
      <c r="AT15" s="17"/>
      <c r="AU15" s="25"/>
      <c r="AV15" s="327"/>
    </row>
    <row r="16" spans="1:48" s="27" customFormat="1" ht="13.5" customHeight="1">
      <c r="A16" s="327"/>
      <c r="B16" s="374" t="s">
        <v>27</v>
      </c>
      <c r="C16" s="344">
        <f>$C$5/12*2.786</f>
        <v>2.786</v>
      </c>
      <c r="D16" s="375">
        <v>4.4</v>
      </c>
      <c r="E16" s="376">
        <f>C16/D16</f>
        <v>0.6331818181818182</v>
      </c>
      <c r="F16" s="377">
        <v>4.6</v>
      </c>
      <c r="G16" s="376">
        <f>C16/F16</f>
        <v>0.6056521739130435</v>
      </c>
      <c r="H16" s="378">
        <v>7</v>
      </c>
      <c r="I16" s="379">
        <f>C16/H16</f>
        <v>0.398</v>
      </c>
      <c r="J16" s="378">
        <v>10</v>
      </c>
      <c r="K16" s="380">
        <f>C16/J16</f>
        <v>0.2786</v>
      </c>
      <c r="L16" s="381">
        <v>12</v>
      </c>
      <c r="M16" s="382">
        <f>C16/L16</f>
        <v>0.23216666666666666</v>
      </c>
      <c r="N16" s="383">
        <v>10</v>
      </c>
      <c r="O16" s="384">
        <f>C16/N16</f>
        <v>0.2786</v>
      </c>
      <c r="P16" s="385">
        <v>16</v>
      </c>
      <c r="Q16" s="386">
        <f>C16/P16</f>
        <v>0.174125</v>
      </c>
      <c r="R16" s="387">
        <v>11</v>
      </c>
      <c r="S16" s="386">
        <f>C16/R16</f>
        <v>0.25327272727272726</v>
      </c>
      <c r="T16" s="387">
        <v>11</v>
      </c>
      <c r="U16" s="386">
        <f>$C16/T16</f>
        <v>0.25327272727272726</v>
      </c>
      <c r="V16" s="387">
        <v>11</v>
      </c>
      <c r="W16" s="388">
        <f>$C16/V16</f>
        <v>0.25327272727272726</v>
      </c>
      <c r="X16" s="389">
        <v>17</v>
      </c>
      <c r="Y16" s="386">
        <f>C16/X16</f>
        <v>0.16388235294117648</v>
      </c>
      <c r="Z16" s="387">
        <v>12</v>
      </c>
      <c r="AA16" s="386">
        <f>C16/Z16</f>
        <v>0.23216666666666666</v>
      </c>
      <c r="AB16" s="387">
        <v>11</v>
      </c>
      <c r="AC16" s="386">
        <f>$C16/AB16</f>
        <v>0.25327272727272726</v>
      </c>
      <c r="AD16" s="387">
        <v>11</v>
      </c>
      <c r="AE16" s="390">
        <f>$C16/AD16</f>
        <v>0.25327272727272726</v>
      </c>
      <c r="AF16" s="385">
        <v>17</v>
      </c>
      <c r="AG16" s="386">
        <f>C16/AF16</f>
        <v>0.16388235294117648</v>
      </c>
      <c r="AH16" s="387">
        <v>12</v>
      </c>
      <c r="AI16" s="386">
        <f>C16/AH16</f>
        <v>0.23216666666666666</v>
      </c>
      <c r="AJ16" s="387">
        <v>11</v>
      </c>
      <c r="AK16" s="386">
        <f>$C16/AJ16</f>
        <v>0.25327272727272726</v>
      </c>
      <c r="AL16" s="387">
        <v>11</v>
      </c>
      <c r="AM16" s="388">
        <f>$C16/AL16</f>
        <v>0.25327272727272726</v>
      </c>
      <c r="AN16" s="389">
        <v>14</v>
      </c>
      <c r="AO16" s="386">
        <f>C16/AN16</f>
        <v>0.199</v>
      </c>
      <c r="AP16" s="387">
        <v>11</v>
      </c>
      <c r="AQ16" s="390">
        <f>C16/AP16</f>
        <v>0.25327272727272726</v>
      </c>
      <c r="AR16" s="385">
        <v>14</v>
      </c>
      <c r="AS16" s="386">
        <f>C16/AR16</f>
        <v>0.199</v>
      </c>
      <c r="AT16" s="387">
        <v>11</v>
      </c>
      <c r="AU16" s="386">
        <f>C16/AT16</f>
        <v>0.25327272727272726</v>
      </c>
      <c r="AV16" s="327"/>
    </row>
    <row r="17" spans="1:48" s="27" customFormat="1" ht="13.5" customHeight="1">
      <c r="A17" s="327"/>
      <c r="B17" s="90" t="s">
        <v>28</v>
      </c>
      <c r="C17" s="343">
        <f>$C$5/12*0.7252</f>
        <v>0.7252</v>
      </c>
      <c r="D17" s="397">
        <v>0.5</v>
      </c>
      <c r="E17" s="398">
        <f>C17/D17</f>
        <v>1.4504</v>
      </c>
      <c r="F17" s="399">
        <v>0.5</v>
      </c>
      <c r="G17" s="400">
        <f>C17/F17</f>
        <v>1.4504</v>
      </c>
      <c r="H17" s="401">
        <v>0.7</v>
      </c>
      <c r="I17" s="402">
        <f>C17/H17</f>
        <v>1.036</v>
      </c>
      <c r="J17" s="403">
        <v>0.9</v>
      </c>
      <c r="K17" s="155">
        <f>C17/J17</f>
        <v>0.8057777777777777</v>
      </c>
      <c r="L17" s="133">
        <v>1.2</v>
      </c>
      <c r="M17" s="91">
        <f>C17/L17</f>
        <v>0.6043333333333333</v>
      </c>
      <c r="N17" s="95">
        <v>1</v>
      </c>
      <c r="O17" s="187">
        <f>C17/N17</f>
        <v>0.7252</v>
      </c>
      <c r="P17" s="404">
        <v>1.6</v>
      </c>
      <c r="Q17" s="92">
        <f>C17/P17</f>
        <v>0.45324999999999993</v>
      </c>
      <c r="R17" s="405">
        <v>1.1</v>
      </c>
      <c r="S17" s="92">
        <f>C17/R17</f>
        <v>0.6592727272727272</v>
      </c>
      <c r="T17" s="405">
        <v>1.1</v>
      </c>
      <c r="U17" s="92">
        <f>$C17/T17</f>
        <v>0.6592727272727272</v>
      </c>
      <c r="V17" s="405">
        <v>1.1</v>
      </c>
      <c r="W17" s="215">
        <f>$C17/V17</f>
        <v>0.6592727272727272</v>
      </c>
      <c r="X17" s="406">
        <v>1.6</v>
      </c>
      <c r="Y17" s="92">
        <f>C17/X17</f>
        <v>0.45324999999999993</v>
      </c>
      <c r="Z17" s="405">
        <v>1.1</v>
      </c>
      <c r="AA17" s="92">
        <f>C17/Z17</f>
        <v>0.6592727272727272</v>
      </c>
      <c r="AB17" s="405">
        <v>1.1</v>
      </c>
      <c r="AC17" s="92">
        <f>$C17/AB17</f>
        <v>0.6592727272727272</v>
      </c>
      <c r="AD17" s="405">
        <v>1.1</v>
      </c>
      <c r="AE17" s="237">
        <f>$C17/AD17</f>
        <v>0.6592727272727272</v>
      </c>
      <c r="AF17" s="404">
        <v>1.6</v>
      </c>
      <c r="AG17" s="92">
        <f>C17/AF17</f>
        <v>0.45324999999999993</v>
      </c>
      <c r="AH17" s="405">
        <v>1.1</v>
      </c>
      <c r="AI17" s="92">
        <f>C17/AH17</f>
        <v>0.6592727272727272</v>
      </c>
      <c r="AJ17" s="405">
        <v>1.1</v>
      </c>
      <c r="AK17" s="92">
        <f>$C17/AJ17</f>
        <v>0.6592727272727272</v>
      </c>
      <c r="AL17" s="405">
        <v>1.1</v>
      </c>
      <c r="AM17" s="215">
        <f>$C17/AL17</f>
        <v>0.6592727272727272</v>
      </c>
      <c r="AN17" s="406">
        <v>1.6</v>
      </c>
      <c r="AO17" s="92">
        <f>C17/AN17</f>
        <v>0.45324999999999993</v>
      </c>
      <c r="AP17" s="405">
        <v>1.1</v>
      </c>
      <c r="AQ17" s="237">
        <f>C17/AP17</f>
        <v>0.6592727272727272</v>
      </c>
      <c r="AR17" s="404">
        <v>1.6</v>
      </c>
      <c r="AS17" s="92">
        <f>C17/AR17</f>
        <v>0.45324999999999993</v>
      </c>
      <c r="AT17" s="405">
        <v>1.3</v>
      </c>
      <c r="AU17" s="92">
        <f>C17/AT17</f>
        <v>0.5578461538461538</v>
      </c>
      <c r="AV17" s="327"/>
    </row>
    <row r="18" spans="1:48" ht="13.5" customHeight="1" thickBot="1">
      <c r="A18" s="327"/>
      <c r="B18" s="99" t="s">
        <v>58</v>
      </c>
      <c r="C18" s="345">
        <f>$C$5/12*46</f>
        <v>46</v>
      </c>
      <c r="D18" s="100">
        <v>60</v>
      </c>
      <c r="E18" s="293">
        <f>C18/D18</f>
        <v>0.7666666666666667</v>
      </c>
      <c r="F18" s="294">
        <v>95</v>
      </c>
      <c r="G18" s="273">
        <f>C18/F18</f>
        <v>0.4842105263157895</v>
      </c>
      <c r="H18" s="274">
        <v>130</v>
      </c>
      <c r="I18" s="118">
        <f>C18/H18</f>
        <v>0.35384615384615387</v>
      </c>
      <c r="J18" s="156">
        <v>130</v>
      </c>
      <c r="K18" s="157">
        <f>C18/J18</f>
        <v>0.35384615384615387</v>
      </c>
      <c r="L18" s="132">
        <v>130</v>
      </c>
      <c r="M18" s="21">
        <f>C18/L18</f>
        <v>0.35384615384615387</v>
      </c>
      <c r="N18" s="20">
        <v>130</v>
      </c>
      <c r="O18" s="185">
        <f>C18/N18</f>
        <v>0.35384615384615387</v>
      </c>
      <c r="P18" s="210">
        <v>130</v>
      </c>
      <c r="Q18" s="22">
        <f aca="true" t="shared" si="0" ref="Q18:Q52">C18/P18</f>
        <v>0.35384615384615387</v>
      </c>
      <c r="R18" s="20">
        <v>130</v>
      </c>
      <c r="S18" s="22">
        <f>C18/R18</f>
        <v>0.35384615384615387</v>
      </c>
      <c r="T18" s="20">
        <v>175</v>
      </c>
      <c r="U18" s="22">
        <f>$C18/T18</f>
        <v>0.26285714285714284</v>
      </c>
      <c r="V18" s="20">
        <v>210</v>
      </c>
      <c r="W18" s="211">
        <f>$C18/V18</f>
        <v>0.21904761904761905</v>
      </c>
      <c r="X18" s="132">
        <v>130</v>
      </c>
      <c r="Y18" s="22">
        <f aca="true" t="shared" si="1" ref="Y18:Y52">C18/X18</f>
        <v>0.35384615384615387</v>
      </c>
      <c r="Z18" s="20">
        <v>130</v>
      </c>
      <c r="AA18" s="22">
        <f aca="true" t="shared" si="2" ref="AA18:AA36">C18/Z18</f>
        <v>0.35384615384615387</v>
      </c>
      <c r="AB18" s="20">
        <v>175</v>
      </c>
      <c r="AC18" s="22">
        <f>$C18/AB18</f>
        <v>0.26285714285714284</v>
      </c>
      <c r="AD18" s="20">
        <v>210</v>
      </c>
      <c r="AE18" s="234">
        <f>$C18/AD18</f>
        <v>0.21904761904761905</v>
      </c>
      <c r="AF18" s="210">
        <v>130</v>
      </c>
      <c r="AG18" s="22">
        <f aca="true" t="shared" si="3" ref="AG18:AG52">C18/AF18</f>
        <v>0.35384615384615387</v>
      </c>
      <c r="AH18" s="20">
        <v>130</v>
      </c>
      <c r="AI18" s="22">
        <f aca="true" t="shared" si="4" ref="AI18:AI52">C18/AH18</f>
        <v>0.35384615384615387</v>
      </c>
      <c r="AJ18" s="20">
        <v>175</v>
      </c>
      <c r="AK18" s="22">
        <f>$C18/AJ18</f>
        <v>0.26285714285714284</v>
      </c>
      <c r="AL18" s="20">
        <v>210</v>
      </c>
      <c r="AM18" s="211">
        <f>$C18/AL18</f>
        <v>0.21904761904761905</v>
      </c>
      <c r="AN18" s="132">
        <v>130</v>
      </c>
      <c r="AO18" s="22">
        <f aca="true" t="shared" si="5" ref="AO18:AO52">C18/AN18</f>
        <v>0.35384615384615387</v>
      </c>
      <c r="AP18" s="20">
        <v>130</v>
      </c>
      <c r="AQ18" s="234">
        <f>C18/AP18</f>
        <v>0.35384615384615387</v>
      </c>
      <c r="AR18" s="210">
        <v>130</v>
      </c>
      <c r="AS18" s="22">
        <f aca="true" t="shared" si="6" ref="AS18:AS52">C18/AR18</f>
        <v>0.35384615384615387</v>
      </c>
      <c r="AT18" s="20">
        <v>130</v>
      </c>
      <c r="AU18" s="22">
        <f aca="true" t="shared" si="7" ref="AU18:AU52">C18/AT18</f>
        <v>0.35384615384615387</v>
      </c>
      <c r="AV18" s="327"/>
    </row>
    <row r="19" spans="1:48" ht="13.5" customHeight="1" hidden="1" thickBot="1">
      <c r="A19" s="327"/>
      <c r="B19" s="252" t="s">
        <v>29</v>
      </c>
      <c r="C19" s="325">
        <f>$C$5/12*0.5</f>
        <v>0.5</v>
      </c>
      <c r="D19" s="332" t="s">
        <v>67</v>
      </c>
      <c r="E19" s="295"/>
      <c r="F19" s="296"/>
      <c r="G19" s="275"/>
      <c r="H19" s="276">
        <v>19</v>
      </c>
      <c r="I19" s="253">
        <f>C19/H19</f>
        <v>0.02631578947368421</v>
      </c>
      <c r="J19" s="254">
        <v>25</v>
      </c>
      <c r="K19" s="255">
        <f>C19/J19</f>
        <v>0.02</v>
      </c>
      <c r="L19" s="134">
        <v>31</v>
      </c>
      <c r="M19" s="102">
        <f>C19/L19</f>
        <v>0.016129032258064516</v>
      </c>
      <c r="N19" s="101">
        <v>26</v>
      </c>
      <c r="O19" s="188">
        <f>C19/N19</f>
        <v>0.019230769230769232</v>
      </c>
      <c r="P19" s="217">
        <v>38</v>
      </c>
      <c r="Q19" s="103">
        <f>C19/P19</f>
        <v>0.013157894736842105</v>
      </c>
      <c r="R19" s="101">
        <v>26</v>
      </c>
      <c r="S19" s="103">
        <f>C19/R19</f>
        <v>0.019230769230769232</v>
      </c>
      <c r="T19" s="101">
        <v>28</v>
      </c>
      <c r="U19" s="103">
        <f>$C19/T19</f>
        <v>0.017857142857142856</v>
      </c>
      <c r="V19" s="101">
        <v>29</v>
      </c>
      <c r="W19" s="218">
        <f>$C19/V19</f>
        <v>0.017241379310344827</v>
      </c>
      <c r="X19" s="134">
        <v>38</v>
      </c>
      <c r="Y19" s="103">
        <f>C19/X19</f>
        <v>0.013157894736842105</v>
      </c>
      <c r="Z19" s="101">
        <v>25</v>
      </c>
      <c r="AA19" s="103">
        <f>C19/Z19</f>
        <v>0.02</v>
      </c>
      <c r="AB19" s="101">
        <v>28</v>
      </c>
      <c r="AC19" s="103">
        <f>$C19/AB19</f>
        <v>0.017857142857142856</v>
      </c>
      <c r="AD19" s="101">
        <v>29</v>
      </c>
      <c r="AE19" s="238">
        <f>$C19/AD19</f>
        <v>0.017241379310344827</v>
      </c>
      <c r="AF19" s="217">
        <v>38</v>
      </c>
      <c r="AG19" s="103">
        <f>C19/AF19</f>
        <v>0.013157894736842105</v>
      </c>
      <c r="AH19" s="101">
        <v>25</v>
      </c>
      <c r="AI19" s="103">
        <f>C19/AH19</f>
        <v>0.02</v>
      </c>
      <c r="AJ19" s="101">
        <v>28</v>
      </c>
      <c r="AK19" s="103">
        <f>$C19/AJ19</f>
        <v>0.017857142857142856</v>
      </c>
      <c r="AL19" s="101">
        <v>29</v>
      </c>
      <c r="AM19" s="218">
        <f>$C19/AL19</f>
        <v>0.017241379310344827</v>
      </c>
      <c r="AN19" s="134">
        <v>30</v>
      </c>
      <c r="AO19" s="103">
        <f>C19/AN19</f>
        <v>0.016666666666666666</v>
      </c>
      <c r="AP19" s="101">
        <v>21</v>
      </c>
      <c r="AQ19" s="238">
        <f>C19/AP19</f>
        <v>0.023809523809523808</v>
      </c>
      <c r="AR19" s="217">
        <v>30</v>
      </c>
      <c r="AS19" s="103">
        <f>C19/AR19</f>
        <v>0.016666666666666666</v>
      </c>
      <c r="AT19" s="101">
        <v>21</v>
      </c>
      <c r="AU19" s="103">
        <f>C19/AT19</f>
        <v>0.023809523809523808</v>
      </c>
      <c r="AV19" s="327"/>
    </row>
    <row r="20" spans="1:48" ht="13.5" customHeight="1" hidden="1" thickBot="1">
      <c r="A20" s="327"/>
      <c r="B20" s="256" t="s">
        <v>63</v>
      </c>
      <c r="C20" s="326" t="e">
        <f>#REF!*0.778312</f>
        <v>#REF!</v>
      </c>
      <c r="D20" s="268" t="s">
        <v>68</v>
      </c>
      <c r="E20" s="297"/>
      <c r="F20" s="298"/>
      <c r="G20" s="259"/>
      <c r="H20" s="258"/>
      <c r="I20" s="257"/>
      <c r="J20" s="258"/>
      <c r="K20" s="259"/>
      <c r="L20" s="260"/>
      <c r="M20" s="261"/>
      <c r="N20" s="262"/>
      <c r="O20" s="263"/>
      <c r="P20" s="264"/>
      <c r="Q20" s="265"/>
      <c r="R20" s="262"/>
      <c r="S20" s="265"/>
      <c r="T20" s="262"/>
      <c r="U20" s="265"/>
      <c r="V20" s="262"/>
      <c r="W20" s="266"/>
      <c r="X20" s="260"/>
      <c r="Y20" s="265"/>
      <c r="Z20" s="262"/>
      <c r="AA20" s="265"/>
      <c r="AB20" s="262"/>
      <c r="AC20" s="265"/>
      <c r="AD20" s="262"/>
      <c r="AE20" s="267"/>
      <c r="AF20" s="264"/>
      <c r="AG20" s="265"/>
      <c r="AH20" s="262"/>
      <c r="AI20" s="265"/>
      <c r="AJ20" s="262"/>
      <c r="AK20" s="265"/>
      <c r="AL20" s="262"/>
      <c r="AM20" s="266"/>
      <c r="AN20" s="260"/>
      <c r="AO20" s="265"/>
      <c r="AP20" s="262"/>
      <c r="AQ20" s="267"/>
      <c r="AR20" s="264"/>
      <c r="AS20" s="265"/>
      <c r="AT20" s="262"/>
      <c r="AU20" s="265"/>
      <c r="AV20" s="327"/>
    </row>
    <row r="21" spans="1:48" ht="27.75" customHeight="1" thickBot="1">
      <c r="A21" s="327"/>
      <c r="B21" s="493" t="s">
        <v>122</v>
      </c>
      <c r="C21" s="492"/>
      <c r="D21" s="355" t="s">
        <v>72</v>
      </c>
      <c r="E21" s="356" t="s">
        <v>73</v>
      </c>
      <c r="F21" s="359" t="s">
        <v>9</v>
      </c>
      <c r="G21" s="360" t="s">
        <v>10</v>
      </c>
      <c r="H21" s="277" t="s">
        <v>93</v>
      </c>
      <c r="I21" s="114" t="s">
        <v>94</v>
      </c>
      <c r="J21" s="147" t="s">
        <v>95</v>
      </c>
      <c r="K21" s="148" t="s">
        <v>96</v>
      </c>
      <c r="L21" s="130" t="s">
        <v>97</v>
      </c>
      <c r="M21" s="3" t="s">
        <v>98</v>
      </c>
      <c r="N21" s="4" t="s">
        <v>99</v>
      </c>
      <c r="O21" s="184" t="s">
        <v>100</v>
      </c>
      <c r="P21" s="219" t="s">
        <v>101</v>
      </c>
      <c r="Q21" s="30" t="s">
        <v>102</v>
      </c>
      <c r="R21" s="5" t="s">
        <v>103</v>
      </c>
      <c r="S21" s="6" t="s">
        <v>104</v>
      </c>
      <c r="T21" s="105" t="s">
        <v>36</v>
      </c>
      <c r="U21" s="106" t="s">
        <v>30</v>
      </c>
      <c r="V21" s="107" t="s">
        <v>37</v>
      </c>
      <c r="W21" s="208" t="s">
        <v>31</v>
      </c>
      <c r="X21" s="203" t="s">
        <v>105</v>
      </c>
      <c r="Y21" s="31" t="s">
        <v>106</v>
      </c>
      <c r="Z21" s="7" t="s">
        <v>107</v>
      </c>
      <c r="AA21" s="8" t="s">
        <v>108</v>
      </c>
      <c r="AB21" s="109" t="s">
        <v>32</v>
      </c>
      <c r="AC21" s="108" t="s">
        <v>33</v>
      </c>
      <c r="AD21" s="112" t="s">
        <v>34</v>
      </c>
      <c r="AE21" s="233" t="s">
        <v>35</v>
      </c>
      <c r="AF21" s="248" t="s">
        <v>109</v>
      </c>
      <c r="AG21" s="32" t="s">
        <v>110</v>
      </c>
      <c r="AH21" s="9" t="s">
        <v>111</v>
      </c>
      <c r="AI21" s="10" t="s">
        <v>112</v>
      </c>
      <c r="AJ21" s="111" t="s">
        <v>38</v>
      </c>
      <c r="AK21" s="110" t="s">
        <v>39</v>
      </c>
      <c r="AL21" s="113" t="s">
        <v>40</v>
      </c>
      <c r="AM21" s="247" t="s">
        <v>42</v>
      </c>
      <c r="AN21" s="246" t="s">
        <v>113</v>
      </c>
      <c r="AO21" s="33" t="s">
        <v>114</v>
      </c>
      <c r="AP21" s="11" t="s">
        <v>115</v>
      </c>
      <c r="AQ21" s="249" t="s">
        <v>116</v>
      </c>
      <c r="AR21" s="250" t="s">
        <v>117</v>
      </c>
      <c r="AS21" s="34" t="s">
        <v>118</v>
      </c>
      <c r="AT21" s="12" t="s">
        <v>119</v>
      </c>
      <c r="AU21" s="13" t="s">
        <v>120</v>
      </c>
      <c r="AV21" s="327"/>
    </row>
    <row r="22" spans="1:48" s="41" customFormat="1" ht="13.5" customHeight="1">
      <c r="A22" s="416"/>
      <c r="B22" s="35" t="s">
        <v>143</v>
      </c>
      <c r="C22" s="346">
        <f>$C$5/12*3197</f>
        <v>3197</v>
      </c>
      <c r="D22" s="36">
        <v>400</v>
      </c>
      <c r="E22" s="278">
        <f aca="true" t="shared" si="8" ref="E22:E36">C22/D22</f>
        <v>7.9925</v>
      </c>
      <c r="F22" s="299">
        <v>500</v>
      </c>
      <c r="G22" s="278">
        <f>C22/F22</f>
        <v>6.394</v>
      </c>
      <c r="H22" s="279">
        <v>300</v>
      </c>
      <c r="I22" s="119">
        <f aca="true" t="shared" si="9" ref="I22:I49">C22/H22</f>
        <v>10.656666666666666</v>
      </c>
      <c r="J22" s="158">
        <v>400</v>
      </c>
      <c r="K22" s="159">
        <f aca="true" t="shared" si="10" ref="K22:K36">C22/J22</f>
        <v>7.9925</v>
      </c>
      <c r="L22" s="135">
        <v>600</v>
      </c>
      <c r="M22" s="38">
        <f>C22/L22</f>
        <v>5.328333333333333</v>
      </c>
      <c r="N22" s="37">
        <v>600</v>
      </c>
      <c r="O22" s="189">
        <f>C22/N22</f>
        <v>5.328333333333333</v>
      </c>
      <c r="P22" s="220">
        <v>900</v>
      </c>
      <c r="Q22" s="40">
        <f t="shared" si="0"/>
        <v>3.5522222222222224</v>
      </c>
      <c r="R22" s="39">
        <v>700</v>
      </c>
      <c r="S22" s="40">
        <f>C22/R22</f>
        <v>4.567142857142857</v>
      </c>
      <c r="T22" s="39">
        <v>750</v>
      </c>
      <c r="U22" s="40">
        <f aca="true" t="shared" si="11" ref="U22:U36">$C22/T22</f>
        <v>4.262666666666667</v>
      </c>
      <c r="V22" s="39">
        <v>1200</v>
      </c>
      <c r="W22" s="221">
        <f aca="true" t="shared" si="12" ref="W22:W36">$C22/V22</f>
        <v>2.6641666666666666</v>
      </c>
      <c r="X22" s="204">
        <v>900</v>
      </c>
      <c r="Y22" s="40">
        <f t="shared" si="1"/>
        <v>3.5522222222222224</v>
      </c>
      <c r="Z22" s="39">
        <v>700</v>
      </c>
      <c r="AA22" s="40">
        <f t="shared" si="2"/>
        <v>4.567142857142857</v>
      </c>
      <c r="AB22" s="39">
        <v>770</v>
      </c>
      <c r="AC22" s="40">
        <f aca="true" t="shared" si="13" ref="AC22:AC36">$C22/AB22</f>
        <v>4.151948051948052</v>
      </c>
      <c r="AD22" s="39">
        <v>1300</v>
      </c>
      <c r="AE22" s="239">
        <f aca="true" t="shared" si="14" ref="AE22:AE36">$C22/AD22</f>
        <v>2.459230769230769</v>
      </c>
      <c r="AF22" s="220">
        <v>900</v>
      </c>
      <c r="AG22" s="40">
        <f t="shared" si="3"/>
        <v>3.5522222222222224</v>
      </c>
      <c r="AH22" s="39">
        <v>700</v>
      </c>
      <c r="AI22" s="40">
        <f t="shared" si="4"/>
        <v>4.567142857142857</v>
      </c>
      <c r="AJ22" s="39">
        <v>770</v>
      </c>
      <c r="AK22" s="40">
        <f aca="true" t="shared" si="15" ref="AK22:AK36">$C22/AJ22</f>
        <v>4.151948051948052</v>
      </c>
      <c r="AL22" s="39">
        <v>1300</v>
      </c>
      <c r="AM22" s="221">
        <f aca="true" t="shared" si="16" ref="AM22:AM36">$C22/AL22</f>
        <v>2.459230769230769</v>
      </c>
      <c r="AN22" s="204">
        <v>900</v>
      </c>
      <c r="AO22" s="40">
        <f t="shared" si="5"/>
        <v>3.5522222222222224</v>
      </c>
      <c r="AP22" s="39">
        <v>700</v>
      </c>
      <c r="AQ22" s="239">
        <f aca="true" t="shared" si="17" ref="AQ22:AQ36">C22/AP22</f>
        <v>4.567142857142857</v>
      </c>
      <c r="AR22" s="220">
        <v>900</v>
      </c>
      <c r="AS22" s="40">
        <f t="shared" si="6"/>
        <v>3.5522222222222224</v>
      </c>
      <c r="AT22" s="39">
        <v>700</v>
      </c>
      <c r="AU22" s="40">
        <f t="shared" si="7"/>
        <v>4.567142857142857</v>
      </c>
      <c r="AV22" s="416"/>
    </row>
    <row r="23" spans="1:48" ht="13.5" customHeight="1">
      <c r="A23" s="327"/>
      <c r="B23" s="15" t="s">
        <v>59</v>
      </c>
      <c r="C23" s="347">
        <f>$C$5/12*23</f>
        <v>23</v>
      </c>
      <c r="D23" s="42">
        <v>10</v>
      </c>
      <c r="E23" s="472">
        <f t="shared" si="8"/>
        <v>2.3</v>
      </c>
      <c r="F23" s="300">
        <v>10</v>
      </c>
      <c r="G23" s="444">
        <f>C23/F23</f>
        <v>2.3</v>
      </c>
      <c r="H23" s="337">
        <v>15</v>
      </c>
      <c r="I23" s="446">
        <f t="shared" si="9"/>
        <v>1.5333333333333334</v>
      </c>
      <c r="J23" s="335">
        <v>15</v>
      </c>
      <c r="K23" s="448">
        <f t="shared" si="10"/>
        <v>1.5333333333333334</v>
      </c>
      <c r="L23" s="136">
        <v>15</v>
      </c>
      <c r="M23" s="450">
        <f aca="true" t="shared" si="18" ref="M23:M36">C23/L23</f>
        <v>1.5333333333333334</v>
      </c>
      <c r="N23" s="43">
        <v>15</v>
      </c>
      <c r="O23" s="452">
        <f aca="true" t="shared" si="19" ref="O23:O36">C23/N23</f>
        <v>1.5333333333333334</v>
      </c>
      <c r="P23" s="209">
        <v>15</v>
      </c>
      <c r="Q23" s="434">
        <f t="shared" si="0"/>
        <v>1.5333333333333334</v>
      </c>
      <c r="R23" s="17">
        <v>15</v>
      </c>
      <c r="S23" s="434">
        <f>C23/R23</f>
        <v>1.5333333333333334</v>
      </c>
      <c r="T23" s="17">
        <v>15</v>
      </c>
      <c r="U23" s="434">
        <f t="shared" si="11"/>
        <v>1.5333333333333334</v>
      </c>
      <c r="V23" s="17">
        <v>15</v>
      </c>
      <c r="W23" s="436">
        <f t="shared" si="12"/>
        <v>1.5333333333333334</v>
      </c>
      <c r="X23" s="200">
        <v>15</v>
      </c>
      <c r="Y23" s="434">
        <f t="shared" si="1"/>
        <v>1.5333333333333334</v>
      </c>
      <c r="Z23" s="17">
        <v>15</v>
      </c>
      <c r="AA23" s="434">
        <f t="shared" si="2"/>
        <v>1.5333333333333334</v>
      </c>
      <c r="AB23" s="17">
        <v>15</v>
      </c>
      <c r="AC23" s="434">
        <f t="shared" si="13"/>
        <v>1.5333333333333334</v>
      </c>
      <c r="AD23" s="17">
        <v>15</v>
      </c>
      <c r="AE23" s="436">
        <f t="shared" si="14"/>
        <v>1.5333333333333334</v>
      </c>
      <c r="AF23" s="209">
        <v>15</v>
      </c>
      <c r="AG23" s="434">
        <f t="shared" si="3"/>
        <v>1.5333333333333334</v>
      </c>
      <c r="AH23" s="17">
        <v>15</v>
      </c>
      <c r="AI23" s="434">
        <f t="shared" si="4"/>
        <v>1.5333333333333334</v>
      </c>
      <c r="AJ23" s="17">
        <v>15</v>
      </c>
      <c r="AK23" s="434">
        <f t="shared" si="15"/>
        <v>1.5333333333333334</v>
      </c>
      <c r="AL23" s="17">
        <v>15</v>
      </c>
      <c r="AM23" s="436">
        <f t="shared" si="16"/>
        <v>1.5333333333333334</v>
      </c>
      <c r="AN23" s="200">
        <v>15</v>
      </c>
      <c r="AO23" s="434">
        <f t="shared" si="5"/>
        <v>1.5333333333333334</v>
      </c>
      <c r="AP23" s="17">
        <v>15</v>
      </c>
      <c r="AQ23" s="436">
        <f t="shared" si="17"/>
        <v>1.5333333333333334</v>
      </c>
      <c r="AR23" s="209">
        <v>20</v>
      </c>
      <c r="AS23" s="434">
        <f t="shared" si="6"/>
        <v>1.15</v>
      </c>
      <c r="AT23" s="17">
        <v>20</v>
      </c>
      <c r="AU23" s="434">
        <f t="shared" si="7"/>
        <v>1.15</v>
      </c>
      <c r="AV23" s="327"/>
    </row>
    <row r="24" spans="1:48" ht="13.5" customHeight="1">
      <c r="A24" s="327"/>
      <c r="B24" s="324" t="s">
        <v>65</v>
      </c>
      <c r="C24" s="348">
        <f>$C$5/12*920</f>
        <v>920</v>
      </c>
      <c r="D24" s="42">
        <f>D23*40</f>
        <v>400</v>
      </c>
      <c r="E24" s="473"/>
      <c r="F24" s="336">
        <f>F23*40</f>
        <v>400</v>
      </c>
      <c r="G24" s="445"/>
      <c r="H24" s="334">
        <f>H23*40</f>
        <v>600</v>
      </c>
      <c r="I24" s="447"/>
      <c r="J24" s="334">
        <f>J23*40</f>
        <v>600</v>
      </c>
      <c r="K24" s="449"/>
      <c r="L24" s="269">
        <f>L23*40</f>
        <v>600</v>
      </c>
      <c r="M24" s="451"/>
      <c r="N24" s="269">
        <f>N23*40</f>
        <v>600</v>
      </c>
      <c r="O24" s="453"/>
      <c r="P24" s="334">
        <f>P23*40</f>
        <v>600</v>
      </c>
      <c r="Q24" s="435"/>
      <c r="R24" s="269">
        <f>R23*40</f>
        <v>600</v>
      </c>
      <c r="S24" s="435"/>
      <c r="T24" s="269">
        <f>T23*40</f>
        <v>600</v>
      </c>
      <c r="U24" s="435"/>
      <c r="V24" s="269">
        <f>V23*40</f>
        <v>600</v>
      </c>
      <c r="W24" s="437"/>
      <c r="X24" s="269">
        <f>X23*40</f>
        <v>600</v>
      </c>
      <c r="Y24" s="435"/>
      <c r="Z24" s="269">
        <f>Z23*40</f>
        <v>600</v>
      </c>
      <c r="AA24" s="435"/>
      <c r="AB24" s="269">
        <f>AB23*40</f>
        <v>600</v>
      </c>
      <c r="AC24" s="435"/>
      <c r="AD24" s="269">
        <f>AD23*40</f>
        <v>600</v>
      </c>
      <c r="AE24" s="437"/>
      <c r="AF24" s="334">
        <f>AF23*40</f>
        <v>600</v>
      </c>
      <c r="AG24" s="435"/>
      <c r="AH24" s="269">
        <f>AH23*40</f>
        <v>600</v>
      </c>
      <c r="AI24" s="435"/>
      <c r="AJ24" s="269">
        <f>AJ23*40</f>
        <v>600</v>
      </c>
      <c r="AK24" s="435"/>
      <c r="AL24" s="269">
        <f>AL23*40</f>
        <v>600</v>
      </c>
      <c r="AM24" s="437"/>
      <c r="AN24" s="269">
        <f>AN23*40</f>
        <v>600</v>
      </c>
      <c r="AO24" s="435"/>
      <c r="AP24" s="269">
        <f>AP23*40</f>
        <v>600</v>
      </c>
      <c r="AQ24" s="437"/>
      <c r="AR24" s="334">
        <f>AR23*40</f>
        <v>800</v>
      </c>
      <c r="AS24" s="435"/>
      <c r="AT24" s="269">
        <f>AT23*40</f>
        <v>800</v>
      </c>
      <c r="AU24" s="435"/>
      <c r="AV24" s="327"/>
    </row>
    <row r="25" spans="1:48" s="41" customFormat="1" ht="13.5" customHeight="1">
      <c r="A25" s="416"/>
      <c r="B25" s="45" t="s">
        <v>144</v>
      </c>
      <c r="C25" s="349">
        <f>$C$5/12*18.5</f>
        <v>18.5</v>
      </c>
      <c r="D25" s="19">
        <v>4</v>
      </c>
      <c r="E25" s="281">
        <f t="shared" si="8"/>
        <v>4.625</v>
      </c>
      <c r="F25" s="301">
        <v>5</v>
      </c>
      <c r="G25" s="281">
        <f>C25/F25</f>
        <v>3.7</v>
      </c>
      <c r="H25" s="338">
        <v>6</v>
      </c>
      <c r="I25" s="121">
        <f t="shared" si="9"/>
        <v>3.0833333333333335</v>
      </c>
      <c r="J25" s="158">
        <v>7</v>
      </c>
      <c r="K25" s="151">
        <f t="shared" si="10"/>
        <v>2.642857142857143</v>
      </c>
      <c r="L25" s="137">
        <v>11</v>
      </c>
      <c r="M25" s="21">
        <f t="shared" si="18"/>
        <v>1.6818181818181819</v>
      </c>
      <c r="N25" s="46">
        <v>11</v>
      </c>
      <c r="O25" s="185">
        <f t="shared" si="19"/>
        <v>1.6818181818181819</v>
      </c>
      <c r="P25" s="210">
        <v>15</v>
      </c>
      <c r="Q25" s="22">
        <f t="shared" si="0"/>
        <v>1.2333333333333334</v>
      </c>
      <c r="R25" s="20">
        <v>15</v>
      </c>
      <c r="S25" s="22">
        <f>C25/R25</f>
        <v>1.2333333333333334</v>
      </c>
      <c r="T25" s="20">
        <v>15</v>
      </c>
      <c r="U25" s="22">
        <f t="shared" si="11"/>
        <v>1.2333333333333334</v>
      </c>
      <c r="V25" s="20">
        <v>19</v>
      </c>
      <c r="W25" s="211">
        <f t="shared" si="12"/>
        <v>0.9736842105263158</v>
      </c>
      <c r="X25" s="132">
        <v>15</v>
      </c>
      <c r="Y25" s="22">
        <f t="shared" si="1"/>
        <v>1.2333333333333334</v>
      </c>
      <c r="Z25" s="20">
        <v>15</v>
      </c>
      <c r="AA25" s="22">
        <f t="shared" si="2"/>
        <v>1.2333333333333334</v>
      </c>
      <c r="AB25" s="20">
        <v>15</v>
      </c>
      <c r="AC25" s="22">
        <f t="shared" si="13"/>
        <v>1.2333333333333334</v>
      </c>
      <c r="AD25" s="20">
        <v>19</v>
      </c>
      <c r="AE25" s="234">
        <f t="shared" si="14"/>
        <v>0.9736842105263158</v>
      </c>
      <c r="AF25" s="210">
        <v>15</v>
      </c>
      <c r="AG25" s="22">
        <f t="shared" si="3"/>
        <v>1.2333333333333334</v>
      </c>
      <c r="AH25" s="20">
        <v>15</v>
      </c>
      <c r="AI25" s="22">
        <f t="shared" si="4"/>
        <v>1.2333333333333334</v>
      </c>
      <c r="AJ25" s="20">
        <v>15</v>
      </c>
      <c r="AK25" s="22">
        <f t="shared" si="15"/>
        <v>1.2333333333333334</v>
      </c>
      <c r="AL25" s="20">
        <v>19</v>
      </c>
      <c r="AM25" s="211">
        <f t="shared" si="16"/>
        <v>0.9736842105263158</v>
      </c>
      <c r="AN25" s="132">
        <v>15</v>
      </c>
      <c r="AO25" s="22">
        <f t="shared" si="5"/>
        <v>1.2333333333333334</v>
      </c>
      <c r="AP25" s="20">
        <v>15</v>
      </c>
      <c r="AQ25" s="234">
        <f t="shared" si="17"/>
        <v>1.2333333333333334</v>
      </c>
      <c r="AR25" s="210">
        <v>15</v>
      </c>
      <c r="AS25" s="22">
        <f t="shared" si="6"/>
        <v>1.2333333333333334</v>
      </c>
      <c r="AT25" s="20">
        <v>15</v>
      </c>
      <c r="AU25" s="22">
        <f t="shared" si="7"/>
        <v>1.2333333333333334</v>
      </c>
      <c r="AV25" s="416"/>
    </row>
    <row r="26" spans="1:48" s="41" customFormat="1" ht="13.5" customHeight="1">
      <c r="A26" s="416"/>
      <c r="B26" s="15" t="s">
        <v>123</v>
      </c>
      <c r="C26" s="347">
        <f>$C$5/12*92.2</f>
        <v>92.2</v>
      </c>
      <c r="D26" s="42">
        <v>2</v>
      </c>
      <c r="E26" s="280">
        <f t="shared" si="8"/>
        <v>46.1</v>
      </c>
      <c r="F26" s="300">
        <v>2.5</v>
      </c>
      <c r="G26" s="280">
        <f>C26/F26</f>
        <v>36.88</v>
      </c>
      <c r="H26" s="283">
        <v>30</v>
      </c>
      <c r="I26" s="122">
        <f t="shared" si="9"/>
        <v>3.0733333333333333</v>
      </c>
      <c r="J26" s="163">
        <v>55</v>
      </c>
      <c r="K26" s="164">
        <f t="shared" si="10"/>
        <v>1.6763636363636365</v>
      </c>
      <c r="L26" s="138">
        <v>60</v>
      </c>
      <c r="M26" s="48">
        <f t="shared" si="18"/>
        <v>1.5366666666666666</v>
      </c>
      <c r="N26" s="47">
        <v>60</v>
      </c>
      <c r="O26" s="191">
        <f t="shared" si="19"/>
        <v>1.5366666666666666</v>
      </c>
      <c r="P26" s="216">
        <v>75</v>
      </c>
      <c r="Q26" s="29">
        <f t="shared" si="0"/>
        <v>1.2293333333333334</v>
      </c>
      <c r="R26" s="28">
        <v>75</v>
      </c>
      <c r="S26" s="29">
        <f aca="true" t="shared" si="20" ref="S26:S52">C26/R26</f>
        <v>1.2293333333333334</v>
      </c>
      <c r="T26" s="28">
        <v>75</v>
      </c>
      <c r="U26" s="29">
        <f t="shared" si="11"/>
        <v>1.2293333333333334</v>
      </c>
      <c r="V26" s="28">
        <v>75</v>
      </c>
      <c r="W26" s="223">
        <f t="shared" si="12"/>
        <v>1.2293333333333334</v>
      </c>
      <c r="X26" s="202">
        <v>120</v>
      </c>
      <c r="Y26" s="29">
        <f t="shared" si="1"/>
        <v>0.7683333333333333</v>
      </c>
      <c r="Z26" s="28">
        <v>90</v>
      </c>
      <c r="AA26" s="29">
        <f t="shared" si="2"/>
        <v>1.0244444444444445</v>
      </c>
      <c r="AB26" s="28">
        <v>90</v>
      </c>
      <c r="AC26" s="29">
        <f t="shared" si="13"/>
        <v>1.0244444444444445</v>
      </c>
      <c r="AD26" s="28">
        <v>90</v>
      </c>
      <c r="AE26" s="241">
        <f t="shared" si="14"/>
        <v>1.0244444444444445</v>
      </c>
      <c r="AF26" s="216">
        <v>120</v>
      </c>
      <c r="AG26" s="29">
        <f t="shared" si="3"/>
        <v>0.7683333333333333</v>
      </c>
      <c r="AH26" s="28">
        <v>90</v>
      </c>
      <c r="AI26" s="29">
        <f t="shared" si="4"/>
        <v>1.0244444444444445</v>
      </c>
      <c r="AJ26" s="28">
        <v>90</v>
      </c>
      <c r="AK26" s="29">
        <f t="shared" si="15"/>
        <v>1.0244444444444445</v>
      </c>
      <c r="AL26" s="28">
        <v>90</v>
      </c>
      <c r="AM26" s="223">
        <f t="shared" si="16"/>
        <v>1.0244444444444445</v>
      </c>
      <c r="AN26" s="202">
        <v>120</v>
      </c>
      <c r="AO26" s="29">
        <f t="shared" si="5"/>
        <v>0.7683333333333333</v>
      </c>
      <c r="AP26" s="28">
        <v>90</v>
      </c>
      <c r="AQ26" s="241">
        <f t="shared" si="17"/>
        <v>1.0244444444444445</v>
      </c>
      <c r="AR26" s="216">
        <v>120</v>
      </c>
      <c r="AS26" s="29">
        <f t="shared" si="6"/>
        <v>0.7683333333333333</v>
      </c>
      <c r="AT26" s="28">
        <v>90</v>
      </c>
      <c r="AU26" s="29">
        <f t="shared" si="7"/>
        <v>1.0244444444444445</v>
      </c>
      <c r="AV26" s="416"/>
    </row>
    <row r="27" spans="1:48" s="41" customFormat="1" ht="13.5" customHeight="1">
      <c r="A27" s="416"/>
      <c r="B27" s="45" t="s">
        <v>171</v>
      </c>
      <c r="C27" s="349">
        <f>$C$5/12*1.9</f>
        <v>1.9</v>
      </c>
      <c r="D27" s="18">
        <v>0.2</v>
      </c>
      <c r="E27" s="281">
        <f t="shared" si="8"/>
        <v>9.499999999999998</v>
      </c>
      <c r="F27" s="301">
        <v>0.3</v>
      </c>
      <c r="G27" s="281">
        <f aca="true" t="shared" si="21" ref="G27:G36">C27/F27</f>
        <v>6.333333333333333</v>
      </c>
      <c r="H27" s="282">
        <v>0.5</v>
      </c>
      <c r="I27" s="121">
        <f t="shared" si="9"/>
        <v>3.8</v>
      </c>
      <c r="J27" s="162">
        <v>0.6</v>
      </c>
      <c r="K27" s="151">
        <f t="shared" si="10"/>
        <v>3.1666666666666665</v>
      </c>
      <c r="L27" s="139">
        <v>0.9</v>
      </c>
      <c r="M27" s="21">
        <f t="shared" si="18"/>
        <v>2.111111111111111</v>
      </c>
      <c r="N27" s="49">
        <v>0.9</v>
      </c>
      <c r="O27" s="185">
        <f t="shared" si="19"/>
        <v>2.111111111111111</v>
      </c>
      <c r="P27" s="210">
        <v>1.2</v>
      </c>
      <c r="Q27" s="22">
        <f t="shared" si="0"/>
        <v>1.5833333333333333</v>
      </c>
      <c r="R27" s="20">
        <v>1</v>
      </c>
      <c r="S27" s="22">
        <f t="shared" si="20"/>
        <v>1.9</v>
      </c>
      <c r="T27" s="20">
        <v>1.4</v>
      </c>
      <c r="U27" s="22">
        <f t="shared" si="11"/>
        <v>1.3571428571428572</v>
      </c>
      <c r="V27" s="20">
        <v>1.4</v>
      </c>
      <c r="W27" s="211">
        <f t="shared" si="12"/>
        <v>1.3571428571428572</v>
      </c>
      <c r="X27" s="132">
        <v>1.2</v>
      </c>
      <c r="Y27" s="22">
        <f t="shared" si="1"/>
        <v>1.5833333333333333</v>
      </c>
      <c r="Z27" s="20">
        <v>1.1</v>
      </c>
      <c r="AA27" s="22">
        <f t="shared" si="2"/>
        <v>1.727272727272727</v>
      </c>
      <c r="AB27" s="20">
        <v>1.4</v>
      </c>
      <c r="AC27" s="22">
        <f t="shared" si="13"/>
        <v>1.3571428571428572</v>
      </c>
      <c r="AD27" s="20">
        <v>1.4</v>
      </c>
      <c r="AE27" s="234">
        <f t="shared" si="14"/>
        <v>1.3571428571428572</v>
      </c>
      <c r="AF27" s="210">
        <v>1.2</v>
      </c>
      <c r="AG27" s="22">
        <f t="shared" si="3"/>
        <v>1.5833333333333333</v>
      </c>
      <c r="AH27" s="20">
        <v>1.1</v>
      </c>
      <c r="AI27" s="22">
        <f t="shared" si="4"/>
        <v>1.727272727272727</v>
      </c>
      <c r="AJ27" s="20">
        <v>1.4</v>
      </c>
      <c r="AK27" s="22">
        <f t="shared" si="15"/>
        <v>1.3571428571428572</v>
      </c>
      <c r="AL27" s="20">
        <v>1.4</v>
      </c>
      <c r="AM27" s="211">
        <f t="shared" si="16"/>
        <v>1.3571428571428572</v>
      </c>
      <c r="AN27" s="132">
        <v>1.2</v>
      </c>
      <c r="AO27" s="22">
        <f t="shared" si="5"/>
        <v>1.5833333333333333</v>
      </c>
      <c r="AP27" s="20">
        <v>1.1</v>
      </c>
      <c r="AQ27" s="234">
        <f t="shared" si="17"/>
        <v>1.727272727272727</v>
      </c>
      <c r="AR27" s="210">
        <v>1.2</v>
      </c>
      <c r="AS27" s="22">
        <f t="shared" si="6"/>
        <v>1.5833333333333333</v>
      </c>
      <c r="AT27" s="20">
        <v>1.1</v>
      </c>
      <c r="AU27" s="22">
        <f t="shared" si="7"/>
        <v>1.727272727272727</v>
      </c>
      <c r="AV27" s="416"/>
    </row>
    <row r="28" spans="1:48" s="41" customFormat="1" ht="13.5" customHeight="1">
      <c r="A28" s="416"/>
      <c r="B28" s="15" t="s">
        <v>172</v>
      </c>
      <c r="C28" s="347">
        <f>$C$5/12*1.5</f>
        <v>1.5</v>
      </c>
      <c r="D28" s="50">
        <v>0.3</v>
      </c>
      <c r="E28" s="280">
        <f t="shared" si="8"/>
        <v>5</v>
      </c>
      <c r="F28" s="300">
        <v>0.4</v>
      </c>
      <c r="G28" s="280">
        <f t="shared" si="21"/>
        <v>3.75</v>
      </c>
      <c r="H28" s="284">
        <v>0.5</v>
      </c>
      <c r="I28" s="120">
        <f t="shared" si="9"/>
        <v>3</v>
      </c>
      <c r="J28" s="160">
        <v>0.6</v>
      </c>
      <c r="K28" s="161">
        <f t="shared" si="10"/>
        <v>2.5</v>
      </c>
      <c r="L28" s="140">
        <v>0.9</v>
      </c>
      <c r="M28" s="44">
        <f t="shared" si="18"/>
        <v>1.6666666666666665</v>
      </c>
      <c r="N28" s="51">
        <v>0.9</v>
      </c>
      <c r="O28" s="190">
        <f t="shared" si="19"/>
        <v>1.6666666666666665</v>
      </c>
      <c r="P28" s="209">
        <v>1.3</v>
      </c>
      <c r="Q28" s="25">
        <f t="shared" si="0"/>
        <v>1.1538461538461537</v>
      </c>
      <c r="R28" s="17">
        <v>1</v>
      </c>
      <c r="S28" s="25">
        <f t="shared" si="20"/>
        <v>1.5</v>
      </c>
      <c r="T28" s="17">
        <v>1.4</v>
      </c>
      <c r="U28" s="25">
        <f t="shared" si="11"/>
        <v>1.0714285714285714</v>
      </c>
      <c r="V28" s="17">
        <v>1.6</v>
      </c>
      <c r="W28" s="222">
        <f t="shared" si="12"/>
        <v>0.9375</v>
      </c>
      <c r="X28" s="200">
        <v>1.3</v>
      </c>
      <c r="Y28" s="25">
        <f t="shared" si="1"/>
        <v>1.1538461538461537</v>
      </c>
      <c r="Z28" s="17">
        <v>1.1</v>
      </c>
      <c r="AA28" s="25">
        <f t="shared" si="2"/>
        <v>1.3636363636363635</v>
      </c>
      <c r="AB28" s="17">
        <v>1.4</v>
      </c>
      <c r="AC28" s="25">
        <f t="shared" si="13"/>
        <v>1.0714285714285714</v>
      </c>
      <c r="AD28" s="17">
        <v>1.6</v>
      </c>
      <c r="AE28" s="240">
        <f t="shared" si="14"/>
        <v>0.9375</v>
      </c>
      <c r="AF28" s="209">
        <v>1.3</v>
      </c>
      <c r="AG28" s="25">
        <f t="shared" si="3"/>
        <v>1.1538461538461537</v>
      </c>
      <c r="AH28" s="17">
        <v>1.1</v>
      </c>
      <c r="AI28" s="25">
        <f t="shared" si="4"/>
        <v>1.3636363636363635</v>
      </c>
      <c r="AJ28" s="17">
        <v>1.4</v>
      </c>
      <c r="AK28" s="25">
        <f t="shared" si="15"/>
        <v>1.0714285714285714</v>
      </c>
      <c r="AL28" s="17">
        <v>1.6</v>
      </c>
      <c r="AM28" s="222">
        <f t="shared" si="16"/>
        <v>0.9375</v>
      </c>
      <c r="AN28" s="200">
        <v>1.3</v>
      </c>
      <c r="AO28" s="25">
        <f t="shared" si="5"/>
        <v>1.1538461538461537</v>
      </c>
      <c r="AP28" s="17">
        <v>1.1</v>
      </c>
      <c r="AQ28" s="240">
        <f t="shared" si="17"/>
        <v>1.3636363636363635</v>
      </c>
      <c r="AR28" s="209">
        <v>1.3</v>
      </c>
      <c r="AS28" s="25">
        <f t="shared" si="6"/>
        <v>1.1538461538461537</v>
      </c>
      <c r="AT28" s="17">
        <v>1.1</v>
      </c>
      <c r="AU28" s="25">
        <f t="shared" si="7"/>
        <v>1.3636363636363635</v>
      </c>
      <c r="AV28" s="416"/>
    </row>
    <row r="29" spans="1:48" s="41" customFormat="1" ht="13.5" customHeight="1">
      <c r="A29" s="416"/>
      <c r="B29" s="45" t="s">
        <v>173</v>
      </c>
      <c r="C29" s="349">
        <f>$C$5/12*1.5</f>
        <v>1.5</v>
      </c>
      <c r="D29" s="18">
        <v>0.1</v>
      </c>
      <c r="E29" s="281">
        <f t="shared" si="8"/>
        <v>15</v>
      </c>
      <c r="F29" s="301">
        <v>0.3</v>
      </c>
      <c r="G29" s="281">
        <f t="shared" si="21"/>
        <v>5</v>
      </c>
      <c r="H29" s="282">
        <v>0.5</v>
      </c>
      <c r="I29" s="121">
        <f t="shared" si="9"/>
        <v>3</v>
      </c>
      <c r="J29" s="162">
        <v>0.6</v>
      </c>
      <c r="K29" s="151">
        <f t="shared" si="10"/>
        <v>2.5</v>
      </c>
      <c r="L29" s="139">
        <v>1</v>
      </c>
      <c r="M29" s="21">
        <f t="shared" si="18"/>
        <v>1.5</v>
      </c>
      <c r="N29" s="49">
        <v>1</v>
      </c>
      <c r="O29" s="185">
        <f t="shared" si="19"/>
        <v>1.5</v>
      </c>
      <c r="P29" s="210">
        <v>1.3</v>
      </c>
      <c r="Q29" s="22">
        <f t="shared" si="0"/>
        <v>1.1538461538461537</v>
      </c>
      <c r="R29" s="20">
        <v>1.2</v>
      </c>
      <c r="S29" s="22">
        <f t="shared" si="20"/>
        <v>1.25</v>
      </c>
      <c r="T29" s="20">
        <v>1.9</v>
      </c>
      <c r="U29" s="22">
        <f t="shared" si="11"/>
        <v>0.7894736842105263</v>
      </c>
      <c r="V29" s="49">
        <v>2</v>
      </c>
      <c r="W29" s="211">
        <f t="shared" si="12"/>
        <v>0.75</v>
      </c>
      <c r="X29" s="132">
        <v>1.3</v>
      </c>
      <c r="Y29" s="22">
        <f t="shared" si="1"/>
        <v>1.1538461538461537</v>
      </c>
      <c r="Z29" s="20">
        <v>1.3</v>
      </c>
      <c r="AA29" s="22">
        <f t="shared" si="2"/>
        <v>1.1538461538461537</v>
      </c>
      <c r="AB29" s="20">
        <v>1.9</v>
      </c>
      <c r="AC29" s="22">
        <f t="shared" si="13"/>
        <v>0.7894736842105263</v>
      </c>
      <c r="AD29" s="49">
        <v>2</v>
      </c>
      <c r="AE29" s="234">
        <f t="shared" si="14"/>
        <v>0.75</v>
      </c>
      <c r="AF29" s="210">
        <v>1.3</v>
      </c>
      <c r="AG29" s="22">
        <f t="shared" si="3"/>
        <v>1.1538461538461537</v>
      </c>
      <c r="AH29" s="20">
        <v>1.3</v>
      </c>
      <c r="AI29" s="22">
        <f t="shared" si="4"/>
        <v>1.1538461538461537</v>
      </c>
      <c r="AJ29" s="20">
        <v>1.9</v>
      </c>
      <c r="AK29" s="22">
        <f t="shared" si="15"/>
        <v>0.7894736842105263</v>
      </c>
      <c r="AL29" s="49">
        <v>2</v>
      </c>
      <c r="AM29" s="211">
        <f t="shared" si="16"/>
        <v>0.75</v>
      </c>
      <c r="AN29" s="132">
        <v>1.7</v>
      </c>
      <c r="AO29" s="22">
        <f t="shared" si="5"/>
        <v>0.8823529411764706</v>
      </c>
      <c r="AP29" s="20">
        <v>1.5</v>
      </c>
      <c r="AQ29" s="234">
        <f t="shared" si="17"/>
        <v>1</v>
      </c>
      <c r="AR29" s="210">
        <v>1.7</v>
      </c>
      <c r="AS29" s="22">
        <f t="shared" si="6"/>
        <v>0.8823529411764706</v>
      </c>
      <c r="AT29" s="20">
        <v>1.5</v>
      </c>
      <c r="AU29" s="22">
        <f t="shared" si="7"/>
        <v>1</v>
      </c>
      <c r="AV29" s="416"/>
    </row>
    <row r="30" spans="1:48" s="41" customFormat="1" ht="13.5" customHeight="1">
      <c r="A30" s="416"/>
      <c r="B30" s="15" t="s">
        <v>174</v>
      </c>
      <c r="C30" s="347">
        <f>$C$5/12*3.8</f>
        <v>3.8</v>
      </c>
      <c r="D30" s="50">
        <v>0.4</v>
      </c>
      <c r="E30" s="280">
        <f t="shared" si="8"/>
        <v>9.499999999999998</v>
      </c>
      <c r="F30" s="300">
        <v>0.5</v>
      </c>
      <c r="G30" s="280">
        <f t="shared" si="21"/>
        <v>7.6</v>
      </c>
      <c r="H30" s="284">
        <v>0.9</v>
      </c>
      <c r="I30" s="120">
        <f t="shared" si="9"/>
        <v>4.222222222222222</v>
      </c>
      <c r="J30" s="160">
        <v>1.2</v>
      </c>
      <c r="K30" s="161">
        <f t="shared" si="10"/>
        <v>3.1666666666666665</v>
      </c>
      <c r="L30" s="140">
        <v>1.8</v>
      </c>
      <c r="M30" s="44">
        <f t="shared" si="18"/>
        <v>2.111111111111111</v>
      </c>
      <c r="N30" s="51">
        <v>1.8</v>
      </c>
      <c r="O30" s="190">
        <f t="shared" si="19"/>
        <v>2.111111111111111</v>
      </c>
      <c r="P30" s="209">
        <v>2.4</v>
      </c>
      <c r="Q30" s="25">
        <f t="shared" si="0"/>
        <v>1.5833333333333333</v>
      </c>
      <c r="R30" s="17">
        <v>2.4</v>
      </c>
      <c r="S30" s="25">
        <f t="shared" si="20"/>
        <v>1.5833333333333333</v>
      </c>
      <c r="T30" s="17">
        <v>2.6</v>
      </c>
      <c r="U30" s="25">
        <f t="shared" si="11"/>
        <v>1.4615384615384615</v>
      </c>
      <c r="V30" s="17">
        <v>2.8</v>
      </c>
      <c r="W30" s="222">
        <f t="shared" si="12"/>
        <v>1.3571428571428572</v>
      </c>
      <c r="X30" s="200">
        <v>2.4</v>
      </c>
      <c r="Y30" s="25">
        <f t="shared" si="1"/>
        <v>1.5833333333333333</v>
      </c>
      <c r="Z30" s="17">
        <v>2.4</v>
      </c>
      <c r="AA30" s="25">
        <f t="shared" si="2"/>
        <v>1.5833333333333333</v>
      </c>
      <c r="AB30" s="17">
        <v>2.6</v>
      </c>
      <c r="AC30" s="25">
        <f t="shared" si="13"/>
        <v>1.4615384615384615</v>
      </c>
      <c r="AD30" s="17">
        <v>2.8</v>
      </c>
      <c r="AE30" s="240">
        <f t="shared" si="14"/>
        <v>1.3571428571428572</v>
      </c>
      <c r="AF30" s="209">
        <v>2.4</v>
      </c>
      <c r="AG30" s="25">
        <f t="shared" si="3"/>
        <v>1.5833333333333333</v>
      </c>
      <c r="AH30" s="17">
        <v>2.4</v>
      </c>
      <c r="AI30" s="25">
        <f t="shared" si="4"/>
        <v>1.5833333333333333</v>
      </c>
      <c r="AJ30" s="17">
        <v>2.6</v>
      </c>
      <c r="AK30" s="25">
        <f t="shared" si="15"/>
        <v>1.4615384615384615</v>
      </c>
      <c r="AL30" s="17">
        <v>2.8</v>
      </c>
      <c r="AM30" s="222">
        <f t="shared" si="16"/>
        <v>1.3571428571428572</v>
      </c>
      <c r="AN30" s="200">
        <v>2.4</v>
      </c>
      <c r="AO30" s="25">
        <f t="shared" si="5"/>
        <v>1.5833333333333333</v>
      </c>
      <c r="AP30" s="17">
        <v>2.4</v>
      </c>
      <c r="AQ30" s="240">
        <f t="shared" si="17"/>
        <v>1.5833333333333333</v>
      </c>
      <c r="AR30" s="209">
        <v>2.4</v>
      </c>
      <c r="AS30" s="25">
        <f t="shared" si="6"/>
        <v>1.5833333333333333</v>
      </c>
      <c r="AT30" s="17">
        <v>2.4</v>
      </c>
      <c r="AU30" s="25">
        <f t="shared" si="7"/>
        <v>1.5833333333333333</v>
      </c>
      <c r="AV30" s="416"/>
    </row>
    <row r="31" spans="1:48" s="41" customFormat="1" ht="13.5" customHeight="1">
      <c r="A31" s="416"/>
      <c r="B31" s="45" t="s">
        <v>25</v>
      </c>
      <c r="C31" s="350">
        <f>$C$5/12*9.6</f>
        <v>9.6</v>
      </c>
      <c r="D31" s="19">
        <v>2</v>
      </c>
      <c r="E31" s="281">
        <f t="shared" si="8"/>
        <v>4.8</v>
      </c>
      <c r="F31" s="301">
        <v>4</v>
      </c>
      <c r="G31" s="281">
        <f t="shared" si="21"/>
        <v>2.4</v>
      </c>
      <c r="H31" s="282">
        <v>6</v>
      </c>
      <c r="I31" s="121">
        <f t="shared" si="9"/>
        <v>1.5999999999999999</v>
      </c>
      <c r="J31" s="162">
        <v>8</v>
      </c>
      <c r="K31" s="151">
        <f t="shared" si="10"/>
        <v>1.2</v>
      </c>
      <c r="L31" s="137">
        <v>12</v>
      </c>
      <c r="M31" s="21">
        <f t="shared" si="18"/>
        <v>0.7999999999999999</v>
      </c>
      <c r="N31" s="46">
        <v>12</v>
      </c>
      <c r="O31" s="185">
        <f t="shared" si="19"/>
        <v>0.7999999999999999</v>
      </c>
      <c r="P31" s="210">
        <v>16</v>
      </c>
      <c r="Q31" s="22">
        <f t="shared" si="0"/>
        <v>0.6</v>
      </c>
      <c r="R31" s="20">
        <v>14</v>
      </c>
      <c r="S31" s="22">
        <f t="shared" si="20"/>
        <v>0.6857142857142857</v>
      </c>
      <c r="T31" s="20">
        <v>18</v>
      </c>
      <c r="U31" s="22">
        <f t="shared" si="11"/>
        <v>0.5333333333333333</v>
      </c>
      <c r="V31" s="20">
        <v>17</v>
      </c>
      <c r="W31" s="211">
        <f t="shared" si="12"/>
        <v>0.5647058823529412</v>
      </c>
      <c r="X31" s="132">
        <v>16</v>
      </c>
      <c r="Y31" s="22">
        <f t="shared" si="1"/>
        <v>0.6</v>
      </c>
      <c r="Z31" s="20">
        <v>14</v>
      </c>
      <c r="AA31" s="22">
        <f t="shared" si="2"/>
        <v>0.6857142857142857</v>
      </c>
      <c r="AB31" s="20">
        <v>18</v>
      </c>
      <c r="AC31" s="22">
        <f t="shared" si="13"/>
        <v>0.5333333333333333</v>
      </c>
      <c r="AD31" s="20">
        <v>17</v>
      </c>
      <c r="AE31" s="234">
        <f t="shared" si="14"/>
        <v>0.5647058823529412</v>
      </c>
      <c r="AF31" s="210">
        <v>16</v>
      </c>
      <c r="AG31" s="22">
        <f t="shared" si="3"/>
        <v>0.6</v>
      </c>
      <c r="AH31" s="20">
        <v>14</v>
      </c>
      <c r="AI31" s="22">
        <f t="shared" si="4"/>
        <v>0.6857142857142857</v>
      </c>
      <c r="AJ31" s="20">
        <v>18</v>
      </c>
      <c r="AK31" s="22">
        <f t="shared" si="15"/>
        <v>0.5333333333333333</v>
      </c>
      <c r="AL31" s="20">
        <v>17</v>
      </c>
      <c r="AM31" s="211">
        <f t="shared" si="16"/>
        <v>0.5647058823529412</v>
      </c>
      <c r="AN31" s="132">
        <v>16</v>
      </c>
      <c r="AO31" s="22">
        <f t="shared" si="5"/>
        <v>0.6</v>
      </c>
      <c r="AP31" s="20">
        <v>14</v>
      </c>
      <c r="AQ31" s="234">
        <f t="shared" si="17"/>
        <v>0.6857142857142857</v>
      </c>
      <c r="AR31" s="210">
        <v>16</v>
      </c>
      <c r="AS31" s="22">
        <f t="shared" si="6"/>
        <v>0.6</v>
      </c>
      <c r="AT31" s="20">
        <v>14</v>
      </c>
      <c r="AU31" s="22">
        <f t="shared" si="7"/>
        <v>0.6857142857142857</v>
      </c>
      <c r="AV31" s="416"/>
    </row>
    <row r="32" spans="1:48" s="41" customFormat="1" ht="13.5" customHeight="1">
      <c r="A32" s="416"/>
      <c r="B32" s="15" t="s">
        <v>60</v>
      </c>
      <c r="C32" s="348">
        <f>$C$5/12*461</f>
        <v>461</v>
      </c>
      <c r="D32" s="42">
        <v>65</v>
      </c>
      <c r="E32" s="280">
        <f t="shared" si="8"/>
        <v>7.092307692307692</v>
      </c>
      <c r="F32" s="300">
        <v>80</v>
      </c>
      <c r="G32" s="280">
        <f t="shared" si="21"/>
        <v>5.7625</v>
      </c>
      <c r="H32" s="284">
        <v>150</v>
      </c>
      <c r="I32" s="120">
        <f t="shared" si="9"/>
        <v>3.0733333333333333</v>
      </c>
      <c r="J32" s="160">
        <v>200</v>
      </c>
      <c r="K32" s="161">
        <f t="shared" si="10"/>
        <v>2.305</v>
      </c>
      <c r="L32" s="136">
        <v>300</v>
      </c>
      <c r="M32" s="44">
        <f t="shared" si="18"/>
        <v>1.5366666666666666</v>
      </c>
      <c r="N32" s="43">
        <v>300</v>
      </c>
      <c r="O32" s="190">
        <f t="shared" si="19"/>
        <v>1.5366666666666666</v>
      </c>
      <c r="P32" s="209">
        <v>400</v>
      </c>
      <c r="Q32" s="25">
        <f t="shared" si="0"/>
        <v>1.1525</v>
      </c>
      <c r="R32" s="17">
        <v>400</v>
      </c>
      <c r="S32" s="25">
        <f t="shared" si="20"/>
        <v>1.1525</v>
      </c>
      <c r="T32" s="17">
        <v>600</v>
      </c>
      <c r="U32" s="25">
        <f t="shared" si="11"/>
        <v>0.7683333333333333</v>
      </c>
      <c r="V32" s="17">
        <v>500</v>
      </c>
      <c r="W32" s="222">
        <f t="shared" si="12"/>
        <v>0.922</v>
      </c>
      <c r="X32" s="200">
        <v>400</v>
      </c>
      <c r="Y32" s="25">
        <f t="shared" si="1"/>
        <v>1.1525</v>
      </c>
      <c r="Z32" s="17">
        <v>400</v>
      </c>
      <c r="AA32" s="25">
        <f t="shared" si="2"/>
        <v>1.1525</v>
      </c>
      <c r="AB32" s="17">
        <v>600</v>
      </c>
      <c r="AC32" s="25">
        <f t="shared" si="13"/>
        <v>0.7683333333333333</v>
      </c>
      <c r="AD32" s="17">
        <v>500</v>
      </c>
      <c r="AE32" s="240">
        <f t="shared" si="14"/>
        <v>0.922</v>
      </c>
      <c r="AF32" s="209">
        <v>400</v>
      </c>
      <c r="AG32" s="25">
        <f t="shared" si="3"/>
        <v>1.1525</v>
      </c>
      <c r="AH32" s="17">
        <v>400</v>
      </c>
      <c r="AI32" s="25">
        <f t="shared" si="4"/>
        <v>1.1525</v>
      </c>
      <c r="AJ32" s="17">
        <v>600</v>
      </c>
      <c r="AK32" s="25">
        <f t="shared" si="15"/>
        <v>0.7683333333333333</v>
      </c>
      <c r="AL32" s="17">
        <v>500</v>
      </c>
      <c r="AM32" s="222">
        <f t="shared" si="16"/>
        <v>0.922</v>
      </c>
      <c r="AN32" s="200">
        <v>400</v>
      </c>
      <c r="AO32" s="25">
        <f t="shared" si="5"/>
        <v>1.1525</v>
      </c>
      <c r="AP32" s="17">
        <v>400</v>
      </c>
      <c r="AQ32" s="240">
        <f t="shared" si="17"/>
        <v>1.1525</v>
      </c>
      <c r="AR32" s="209">
        <v>400</v>
      </c>
      <c r="AS32" s="25">
        <f t="shared" si="6"/>
        <v>1.1525</v>
      </c>
      <c r="AT32" s="17">
        <v>400</v>
      </c>
      <c r="AU32" s="25">
        <f t="shared" si="7"/>
        <v>1.1525</v>
      </c>
      <c r="AV32" s="416"/>
    </row>
    <row r="33" spans="1:48" ht="13.5" customHeight="1">
      <c r="A33" s="327"/>
      <c r="B33" s="45" t="s">
        <v>175</v>
      </c>
      <c r="C33" s="349">
        <f>$C$5/12*6.1</f>
        <v>6.1</v>
      </c>
      <c r="D33" s="18">
        <v>1.7</v>
      </c>
      <c r="E33" s="281">
        <f t="shared" si="8"/>
        <v>3.5882352941176467</v>
      </c>
      <c r="F33" s="301">
        <v>1.8</v>
      </c>
      <c r="G33" s="281">
        <f t="shared" si="21"/>
        <v>3.3888888888888884</v>
      </c>
      <c r="H33" s="285">
        <v>2</v>
      </c>
      <c r="I33" s="123">
        <f t="shared" si="9"/>
        <v>3.05</v>
      </c>
      <c r="J33" s="165">
        <v>3</v>
      </c>
      <c r="K33" s="166">
        <f t="shared" si="10"/>
        <v>2.033333333333333</v>
      </c>
      <c r="L33" s="141">
        <v>4</v>
      </c>
      <c r="M33" s="53">
        <f t="shared" si="18"/>
        <v>1.525</v>
      </c>
      <c r="N33" s="52">
        <v>4</v>
      </c>
      <c r="O33" s="192">
        <f t="shared" si="19"/>
        <v>1.525</v>
      </c>
      <c r="P33" s="224">
        <v>5</v>
      </c>
      <c r="Q33" s="55">
        <f t="shared" si="0"/>
        <v>1.22</v>
      </c>
      <c r="R33" s="54">
        <v>5</v>
      </c>
      <c r="S33" s="55">
        <f t="shared" si="20"/>
        <v>1.22</v>
      </c>
      <c r="T33" s="54">
        <v>6</v>
      </c>
      <c r="U33" s="55">
        <f t="shared" si="11"/>
        <v>1.0166666666666666</v>
      </c>
      <c r="V33" s="54">
        <v>7</v>
      </c>
      <c r="W33" s="225">
        <f t="shared" si="12"/>
        <v>0.8714285714285713</v>
      </c>
      <c r="X33" s="205">
        <v>5</v>
      </c>
      <c r="Y33" s="55">
        <f t="shared" si="1"/>
        <v>1.22</v>
      </c>
      <c r="Z33" s="54">
        <v>5</v>
      </c>
      <c r="AA33" s="55">
        <f t="shared" si="2"/>
        <v>1.22</v>
      </c>
      <c r="AB33" s="54">
        <v>6</v>
      </c>
      <c r="AC33" s="55">
        <f t="shared" si="13"/>
        <v>1.0166666666666666</v>
      </c>
      <c r="AD33" s="54">
        <v>7</v>
      </c>
      <c r="AE33" s="242">
        <f t="shared" si="14"/>
        <v>0.8714285714285713</v>
      </c>
      <c r="AF33" s="224">
        <v>5</v>
      </c>
      <c r="AG33" s="55">
        <f t="shared" si="3"/>
        <v>1.22</v>
      </c>
      <c r="AH33" s="54">
        <v>5</v>
      </c>
      <c r="AI33" s="55">
        <f t="shared" si="4"/>
        <v>1.22</v>
      </c>
      <c r="AJ33" s="54">
        <v>6</v>
      </c>
      <c r="AK33" s="55">
        <f t="shared" si="15"/>
        <v>1.0166666666666666</v>
      </c>
      <c r="AL33" s="54">
        <v>7</v>
      </c>
      <c r="AM33" s="225">
        <f t="shared" si="16"/>
        <v>0.8714285714285713</v>
      </c>
      <c r="AN33" s="205">
        <v>5</v>
      </c>
      <c r="AO33" s="55">
        <f t="shared" si="5"/>
        <v>1.22</v>
      </c>
      <c r="AP33" s="54">
        <v>5</v>
      </c>
      <c r="AQ33" s="242">
        <f t="shared" si="17"/>
        <v>1.22</v>
      </c>
      <c r="AR33" s="224">
        <v>5</v>
      </c>
      <c r="AS33" s="55">
        <f t="shared" si="6"/>
        <v>1.22</v>
      </c>
      <c r="AT33" s="54">
        <v>5</v>
      </c>
      <c r="AU33" s="55">
        <f t="shared" si="7"/>
        <v>1.22</v>
      </c>
      <c r="AV33" s="327"/>
    </row>
    <row r="34" spans="1:48" ht="13.5" customHeight="1">
      <c r="A34" s="327"/>
      <c r="B34" s="15" t="s">
        <v>124</v>
      </c>
      <c r="C34" s="347">
        <f>$C$5/12*34.6</f>
        <v>34.6</v>
      </c>
      <c r="D34" s="42">
        <v>5</v>
      </c>
      <c r="E34" s="280">
        <f t="shared" si="8"/>
        <v>6.92</v>
      </c>
      <c r="F34" s="300">
        <v>6</v>
      </c>
      <c r="G34" s="280">
        <f t="shared" si="21"/>
        <v>5.766666666666667</v>
      </c>
      <c r="H34" s="283">
        <v>8</v>
      </c>
      <c r="I34" s="124">
        <f t="shared" si="9"/>
        <v>4.325</v>
      </c>
      <c r="J34" s="163">
        <v>12</v>
      </c>
      <c r="K34" s="167">
        <f t="shared" si="10"/>
        <v>2.8833333333333333</v>
      </c>
      <c r="L34" s="142">
        <v>20</v>
      </c>
      <c r="M34" s="57">
        <f t="shared" si="18"/>
        <v>1.73</v>
      </c>
      <c r="N34" s="56">
        <v>20</v>
      </c>
      <c r="O34" s="193">
        <f t="shared" si="19"/>
        <v>1.73</v>
      </c>
      <c r="P34" s="226">
        <v>25</v>
      </c>
      <c r="Q34" s="58">
        <f t="shared" si="0"/>
        <v>1.3840000000000001</v>
      </c>
      <c r="R34" s="16">
        <v>25</v>
      </c>
      <c r="S34" s="58">
        <f t="shared" si="20"/>
        <v>1.3840000000000001</v>
      </c>
      <c r="T34" s="16">
        <v>30</v>
      </c>
      <c r="U34" s="58">
        <f t="shared" si="11"/>
        <v>1.1533333333333333</v>
      </c>
      <c r="V34" s="16">
        <v>35</v>
      </c>
      <c r="W34" s="227">
        <f t="shared" si="12"/>
        <v>0.9885714285714287</v>
      </c>
      <c r="X34" s="131">
        <v>30</v>
      </c>
      <c r="Y34" s="58">
        <f t="shared" si="1"/>
        <v>1.1533333333333333</v>
      </c>
      <c r="Z34" s="16">
        <v>30</v>
      </c>
      <c r="AA34" s="58">
        <f t="shared" si="2"/>
        <v>1.1533333333333333</v>
      </c>
      <c r="AB34" s="16">
        <v>30</v>
      </c>
      <c r="AC34" s="58">
        <f t="shared" si="13"/>
        <v>1.1533333333333333</v>
      </c>
      <c r="AD34" s="16">
        <v>35</v>
      </c>
      <c r="AE34" s="243">
        <f t="shared" si="14"/>
        <v>0.9885714285714287</v>
      </c>
      <c r="AF34" s="226">
        <v>30</v>
      </c>
      <c r="AG34" s="58">
        <f t="shared" si="3"/>
        <v>1.1533333333333333</v>
      </c>
      <c r="AH34" s="16">
        <v>30</v>
      </c>
      <c r="AI34" s="58">
        <f t="shared" si="4"/>
        <v>1.1533333333333333</v>
      </c>
      <c r="AJ34" s="16">
        <v>30</v>
      </c>
      <c r="AK34" s="58">
        <f t="shared" si="15"/>
        <v>1.1533333333333333</v>
      </c>
      <c r="AL34" s="16">
        <v>35</v>
      </c>
      <c r="AM34" s="227">
        <f t="shared" si="16"/>
        <v>0.9885714285714287</v>
      </c>
      <c r="AN34" s="131">
        <v>30</v>
      </c>
      <c r="AO34" s="58">
        <f t="shared" si="5"/>
        <v>1.1533333333333333</v>
      </c>
      <c r="AP34" s="16">
        <v>30</v>
      </c>
      <c r="AQ34" s="243">
        <f t="shared" si="17"/>
        <v>1.1533333333333333</v>
      </c>
      <c r="AR34" s="226">
        <v>30</v>
      </c>
      <c r="AS34" s="58">
        <f t="shared" si="6"/>
        <v>1.1533333333333333</v>
      </c>
      <c r="AT34" s="16">
        <v>30</v>
      </c>
      <c r="AU34" s="58">
        <f t="shared" si="7"/>
        <v>1.1533333333333333</v>
      </c>
      <c r="AV34" s="327"/>
    </row>
    <row r="35" spans="1:48" s="41" customFormat="1" ht="13.5" customHeight="1">
      <c r="A35" s="416"/>
      <c r="B35" s="45" t="s">
        <v>125</v>
      </c>
      <c r="C35" s="351">
        <f>$C$5/12*120</f>
        <v>120</v>
      </c>
      <c r="D35" s="19">
        <v>40</v>
      </c>
      <c r="E35" s="281">
        <f t="shared" si="8"/>
        <v>3</v>
      </c>
      <c r="F35" s="301">
        <v>50</v>
      </c>
      <c r="G35" s="281">
        <f t="shared" si="21"/>
        <v>2.4</v>
      </c>
      <c r="H35" s="282">
        <v>15</v>
      </c>
      <c r="I35" s="121">
        <f t="shared" si="9"/>
        <v>8</v>
      </c>
      <c r="J35" s="162">
        <v>25</v>
      </c>
      <c r="K35" s="151">
        <f t="shared" si="10"/>
        <v>4.8</v>
      </c>
      <c r="L35" s="137">
        <v>45</v>
      </c>
      <c r="M35" s="21">
        <f t="shared" si="18"/>
        <v>2.6666666666666665</v>
      </c>
      <c r="N35" s="46">
        <v>45</v>
      </c>
      <c r="O35" s="185">
        <f t="shared" si="19"/>
        <v>2.6666666666666665</v>
      </c>
      <c r="P35" s="210">
        <v>75</v>
      </c>
      <c r="Q35" s="22">
        <f t="shared" si="0"/>
        <v>1.6</v>
      </c>
      <c r="R35" s="20">
        <v>65</v>
      </c>
      <c r="S35" s="22">
        <f t="shared" si="20"/>
        <v>1.8461538461538463</v>
      </c>
      <c r="T35" s="20">
        <v>80</v>
      </c>
      <c r="U35" s="22">
        <f t="shared" si="11"/>
        <v>1.5</v>
      </c>
      <c r="V35" s="20">
        <v>115</v>
      </c>
      <c r="W35" s="211">
        <f t="shared" si="12"/>
        <v>1.0434782608695652</v>
      </c>
      <c r="X35" s="132">
        <v>90</v>
      </c>
      <c r="Y35" s="22">
        <f t="shared" si="1"/>
        <v>1.3333333333333333</v>
      </c>
      <c r="Z35" s="20">
        <v>75</v>
      </c>
      <c r="AA35" s="22">
        <f t="shared" si="2"/>
        <v>1.6</v>
      </c>
      <c r="AB35" s="20">
        <v>85</v>
      </c>
      <c r="AC35" s="22">
        <f t="shared" si="13"/>
        <v>1.411764705882353</v>
      </c>
      <c r="AD35" s="20">
        <v>120</v>
      </c>
      <c r="AE35" s="234">
        <f t="shared" si="14"/>
        <v>1</v>
      </c>
      <c r="AF35" s="210">
        <v>90</v>
      </c>
      <c r="AG35" s="22">
        <f t="shared" si="3"/>
        <v>1.3333333333333333</v>
      </c>
      <c r="AH35" s="20">
        <v>75</v>
      </c>
      <c r="AI35" s="22">
        <f t="shared" si="4"/>
        <v>1.6</v>
      </c>
      <c r="AJ35" s="20">
        <v>85</v>
      </c>
      <c r="AK35" s="22">
        <f t="shared" si="15"/>
        <v>1.411764705882353</v>
      </c>
      <c r="AL35" s="20">
        <v>120</v>
      </c>
      <c r="AM35" s="211">
        <f t="shared" si="16"/>
        <v>1</v>
      </c>
      <c r="AN35" s="132">
        <v>90</v>
      </c>
      <c r="AO35" s="22">
        <f t="shared" si="5"/>
        <v>1.3333333333333333</v>
      </c>
      <c r="AP35" s="20">
        <v>425</v>
      </c>
      <c r="AQ35" s="234">
        <f t="shared" si="17"/>
        <v>0.2823529411764706</v>
      </c>
      <c r="AR35" s="210">
        <v>90</v>
      </c>
      <c r="AS35" s="22">
        <f t="shared" si="6"/>
        <v>1.3333333333333333</v>
      </c>
      <c r="AT35" s="20">
        <v>75</v>
      </c>
      <c r="AU35" s="22">
        <f t="shared" si="7"/>
        <v>1.6</v>
      </c>
      <c r="AV35" s="416"/>
    </row>
    <row r="36" spans="1:48" ht="13.5" customHeight="1">
      <c r="A36" s="327"/>
      <c r="B36" s="15" t="s">
        <v>126</v>
      </c>
      <c r="C36" s="348">
        <f>$C$5/12*480</f>
        <v>480</v>
      </c>
      <c r="D36" s="59">
        <v>125</v>
      </c>
      <c r="E36" s="286">
        <f t="shared" si="8"/>
        <v>3.84</v>
      </c>
      <c r="F36" s="300">
        <v>150</v>
      </c>
      <c r="G36" s="286">
        <f t="shared" si="21"/>
        <v>3.2</v>
      </c>
      <c r="H36" s="287">
        <v>200</v>
      </c>
      <c r="I36" s="125">
        <f t="shared" si="9"/>
        <v>2.4</v>
      </c>
      <c r="J36" s="168">
        <v>250</v>
      </c>
      <c r="K36" s="169">
        <f t="shared" si="10"/>
        <v>1.92</v>
      </c>
      <c r="L36" s="142">
        <v>375</v>
      </c>
      <c r="M36" s="57">
        <f t="shared" si="18"/>
        <v>1.28</v>
      </c>
      <c r="N36" s="56">
        <v>375</v>
      </c>
      <c r="O36" s="193">
        <f t="shared" si="19"/>
        <v>1.28</v>
      </c>
      <c r="P36" s="226">
        <v>550</v>
      </c>
      <c r="Q36" s="58">
        <f t="shared" si="0"/>
        <v>0.8727272727272727</v>
      </c>
      <c r="R36" s="16">
        <v>400</v>
      </c>
      <c r="S36" s="58">
        <f t="shared" si="20"/>
        <v>1.2</v>
      </c>
      <c r="T36" s="16">
        <v>450</v>
      </c>
      <c r="U36" s="58">
        <f t="shared" si="11"/>
        <v>1.0666666666666667</v>
      </c>
      <c r="V36" s="16">
        <v>550</v>
      </c>
      <c r="W36" s="227">
        <f t="shared" si="12"/>
        <v>0.8727272727272727</v>
      </c>
      <c r="X36" s="131">
        <v>550</v>
      </c>
      <c r="Y36" s="58">
        <f t="shared" si="1"/>
        <v>0.8727272727272727</v>
      </c>
      <c r="Z36" s="16">
        <v>425</v>
      </c>
      <c r="AA36" s="58">
        <f t="shared" si="2"/>
        <v>1.1294117647058823</v>
      </c>
      <c r="AB36" s="16">
        <v>450</v>
      </c>
      <c r="AC36" s="58">
        <f t="shared" si="13"/>
        <v>1.0666666666666667</v>
      </c>
      <c r="AD36" s="16">
        <v>550</v>
      </c>
      <c r="AE36" s="243">
        <f t="shared" si="14"/>
        <v>0.8727272727272727</v>
      </c>
      <c r="AF36" s="226">
        <v>550</v>
      </c>
      <c r="AG36" s="58">
        <f t="shared" si="3"/>
        <v>0.8727272727272727</v>
      </c>
      <c r="AH36" s="16">
        <v>425</v>
      </c>
      <c r="AI36" s="58">
        <f t="shared" si="4"/>
        <v>1.1294117647058823</v>
      </c>
      <c r="AJ36" s="16">
        <v>450</v>
      </c>
      <c r="AK36" s="58">
        <f t="shared" si="15"/>
        <v>1.0666666666666667</v>
      </c>
      <c r="AL36" s="16">
        <v>550</v>
      </c>
      <c r="AM36" s="227">
        <f t="shared" si="16"/>
        <v>0.8727272727272727</v>
      </c>
      <c r="AN36" s="131">
        <v>550</v>
      </c>
      <c r="AO36" s="58">
        <f t="shared" si="5"/>
        <v>0.8727272727272727</v>
      </c>
      <c r="AP36" s="16">
        <v>425</v>
      </c>
      <c r="AQ36" s="243">
        <f t="shared" si="17"/>
        <v>1.1294117647058823</v>
      </c>
      <c r="AR36" s="226">
        <v>550</v>
      </c>
      <c r="AS36" s="58">
        <f t="shared" si="6"/>
        <v>0.8727272727272727</v>
      </c>
      <c r="AT36" s="16">
        <v>425</v>
      </c>
      <c r="AU36" s="58">
        <f t="shared" si="7"/>
        <v>1.1294117647058823</v>
      </c>
      <c r="AV36" s="327"/>
    </row>
    <row r="37" spans="1:48" ht="13.5" customHeight="1" thickBot="1">
      <c r="A37" s="327"/>
      <c r="B37" s="60" t="s">
        <v>127</v>
      </c>
      <c r="C37" s="352">
        <f>$C$5/12*108</f>
        <v>108</v>
      </c>
      <c r="D37" s="61" t="s">
        <v>128</v>
      </c>
      <c r="E37" s="302"/>
      <c r="F37" s="303" t="s">
        <v>128</v>
      </c>
      <c r="G37" s="181"/>
      <c r="H37" s="170" t="s">
        <v>128</v>
      </c>
      <c r="I37" s="126"/>
      <c r="J37" s="170" t="s">
        <v>128</v>
      </c>
      <c r="K37" s="171"/>
      <c r="L37" s="143" t="s">
        <v>128</v>
      </c>
      <c r="M37" s="63"/>
      <c r="N37" s="62" t="s">
        <v>128</v>
      </c>
      <c r="O37" s="194"/>
      <c r="P37" s="228" t="s">
        <v>128</v>
      </c>
      <c r="Q37" s="65"/>
      <c r="R37" s="64" t="s">
        <v>128</v>
      </c>
      <c r="S37" s="65"/>
      <c r="T37" s="64" t="s">
        <v>128</v>
      </c>
      <c r="U37" s="65"/>
      <c r="V37" s="64" t="s">
        <v>128</v>
      </c>
      <c r="W37" s="229"/>
      <c r="X37" s="206" t="s">
        <v>128</v>
      </c>
      <c r="Y37" s="65"/>
      <c r="Z37" s="64" t="s">
        <v>128</v>
      </c>
      <c r="AA37" s="63"/>
      <c r="AB37" s="64" t="s">
        <v>128</v>
      </c>
      <c r="AC37" s="65"/>
      <c r="AD37" s="64" t="s">
        <v>128</v>
      </c>
      <c r="AE37" s="244"/>
      <c r="AF37" s="228" t="s">
        <v>128</v>
      </c>
      <c r="AG37" s="65"/>
      <c r="AH37" s="64" t="s">
        <v>128</v>
      </c>
      <c r="AI37" s="65"/>
      <c r="AJ37" s="64" t="s">
        <v>128</v>
      </c>
      <c r="AK37" s="65"/>
      <c r="AL37" s="64" t="s">
        <v>128</v>
      </c>
      <c r="AM37" s="229"/>
      <c r="AN37" s="206" t="s">
        <v>128</v>
      </c>
      <c r="AO37" s="65"/>
      <c r="AP37" s="64" t="s">
        <v>128</v>
      </c>
      <c r="AQ37" s="244"/>
      <c r="AR37" s="228" t="s">
        <v>128</v>
      </c>
      <c r="AS37" s="65"/>
      <c r="AT37" s="64" t="s">
        <v>128</v>
      </c>
      <c r="AU37" s="65"/>
      <c r="AV37" s="327"/>
    </row>
    <row r="38" spans="1:48" ht="27.75" customHeight="1" thickBot="1">
      <c r="A38" s="327"/>
      <c r="B38" s="488" t="s">
        <v>129</v>
      </c>
      <c r="C38" s="492"/>
      <c r="D38" s="355" t="s">
        <v>72</v>
      </c>
      <c r="E38" s="356" t="s">
        <v>73</v>
      </c>
      <c r="F38" s="359" t="s">
        <v>9</v>
      </c>
      <c r="G38" s="360" t="s">
        <v>10</v>
      </c>
      <c r="H38" s="277" t="s">
        <v>93</v>
      </c>
      <c r="I38" s="114" t="s">
        <v>94</v>
      </c>
      <c r="J38" s="147" t="s">
        <v>95</v>
      </c>
      <c r="K38" s="148" t="s">
        <v>96</v>
      </c>
      <c r="L38" s="130" t="s">
        <v>97</v>
      </c>
      <c r="M38" s="3" t="s">
        <v>98</v>
      </c>
      <c r="N38" s="4" t="s">
        <v>99</v>
      </c>
      <c r="O38" s="184" t="s">
        <v>100</v>
      </c>
      <c r="P38" s="230" t="s">
        <v>101</v>
      </c>
      <c r="Q38" s="66" t="s">
        <v>102</v>
      </c>
      <c r="R38" s="5" t="s">
        <v>103</v>
      </c>
      <c r="S38" s="6" t="s">
        <v>104</v>
      </c>
      <c r="T38" s="105" t="s">
        <v>36</v>
      </c>
      <c r="U38" s="106" t="s">
        <v>30</v>
      </c>
      <c r="V38" s="107" t="s">
        <v>37</v>
      </c>
      <c r="W38" s="208" t="s">
        <v>31</v>
      </c>
      <c r="X38" s="203" t="s">
        <v>105</v>
      </c>
      <c r="Y38" s="31" t="s">
        <v>106</v>
      </c>
      <c r="Z38" s="7" t="s">
        <v>107</v>
      </c>
      <c r="AA38" s="8" t="s">
        <v>108</v>
      </c>
      <c r="AB38" s="109" t="s">
        <v>32</v>
      </c>
      <c r="AC38" s="108" t="s">
        <v>33</v>
      </c>
      <c r="AD38" s="112" t="s">
        <v>34</v>
      </c>
      <c r="AE38" s="233" t="s">
        <v>35</v>
      </c>
      <c r="AF38" s="248" t="s">
        <v>109</v>
      </c>
      <c r="AG38" s="32" t="s">
        <v>110</v>
      </c>
      <c r="AH38" s="9" t="s">
        <v>111</v>
      </c>
      <c r="AI38" s="10" t="s">
        <v>112</v>
      </c>
      <c r="AJ38" s="111" t="s">
        <v>43</v>
      </c>
      <c r="AK38" s="110" t="s">
        <v>44</v>
      </c>
      <c r="AL38" s="113" t="s">
        <v>40</v>
      </c>
      <c r="AM38" s="247" t="s">
        <v>41</v>
      </c>
      <c r="AN38" s="246" t="s">
        <v>113</v>
      </c>
      <c r="AO38" s="33" t="s">
        <v>114</v>
      </c>
      <c r="AP38" s="11" t="s">
        <v>115</v>
      </c>
      <c r="AQ38" s="249" t="s">
        <v>116</v>
      </c>
      <c r="AR38" s="250" t="s">
        <v>117</v>
      </c>
      <c r="AS38" s="34" t="s">
        <v>118</v>
      </c>
      <c r="AT38" s="12" t="s">
        <v>119</v>
      </c>
      <c r="AU38" s="13" t="s">
        <v>120</v>
      </c>
      <c r="AV38" s="327"/>
    </row>
    <row r="39" spans="1:48" ht="13.5" customHeight="1">
      <c r="A39" s="327"/>
      <c r="B39" s="35" t="s">
        <v>130</v>
      </c>
      <c r="C39" s="346">
        <f>$C$5/12*1555</f>
        <v>1555</v>
      </c>
      <c r="D39" s="67">
        <v>200</v>
      </c>
      <c r="E39" s="278">
        <f aca="true" t="shared" si="22" ref="E39:E52">C39/D39</f>
        <v>7.775</v>
      </c>
      <c r="F39" s="304">
        <v>260</v>
      </c>
      <c r="G39" s="278">
        <f aca="true" t="shared" si="23" ref="G39:G52">C39/F39</f>
        <v>5.980769230769231</v>
      </c>
      <c r="H39" s="172">
        <v>700</v>
      </c>
      <c r="I39" s="119">
        <f t="shared" si="9"/>
        <v>2.2214285714285715</v>
      </c>
      <c r="J39" s="172">
        <v>1000</v>
      </c>
      <c r="K39" s="173">
        <f aca="true" t="shared" si="24" ref="K39:K49">C39/J39</f>
        <v>1.555</v>
      </c>
      <c r="L39" s="144">
        <v>1300</v>
      </c>
      <c r="M39" s="69">
        <f>C39/L39</f>
        <v>1.1961538461538461</v>
      </c>
      <c r="N39" s="68">
        <v>1300</v>
      </c>
      <c r="O39" s="195">
        <f>C39/N39</f>
        <v>1.1961538461538461</v>
      </c>
      <c r="P39" s="220">
        <v>1300</v>
      </c>
      <c r="Q39" s="40">
        <f t="shared" si="0"/>
        <v>1.1961538461538461</v>
      </c>
      <c r="R39" s="39">
        <v>1300</v>
      </c>
      <c r="S39" s="40">
        <f t="shared" si="20"/>
        <v>1.1961538461538461</v>
      </c>
      <c r="T39" s="39">
        <v>1300</v>
      </c>
      <c r="U39" s="40">
        <f aca="true" t="shared" si="25" ref="U39:U52">$C39/T39</f>
        <v>1.1961538461538461</v>
      </c>
      <c r="V39" s="39">
        <v>1300</v>
      </c>
      <c r="W39" s="221">
        <f aca="true" t="shared" si="26" ref="W39:W52">$C39/V39</f>
        <v>1.1961538461538461</v>
      </c>
      <c r="X39" s="204">
        <v>1000</v>
      </c>
      <c r="Y39" s="40">
        <f t="shared" si="1"/>
        <v>1.555</v>
      </c>
      <c r="Z39" s="39">
        <v>1000</v>
      </c>
      <c r="AA39" s="40">
        <f aca="true" t="shared" si="27" ref="AA39:AA52">C39/Z39</f>
        <v>1.555</v>
      </c>
      <c r="AB39" s="39">
        <v>1000</v>
      </c>
      <c r="AC39" s="40">
        <f aca="true" t="shared" si="28" ref="AC39:AC52">$C39/AB39</f>
        <v>1.555</v>
      </c>
      <c r="AD39" s="39">
        <v>1000</v>
      </c>
      <c r="AE39" s="239">
        <f aca="true" t="shared" si="29" ref="AE39:AE52">$C39/AD39</f>
        <v>1.555</v>
      </c>
      <c r="AF39" s="220">
        <v>1000</v>
      </c>
      <c r="AG39" s="40">
        <f t="shared" si="3"/>
        <v>1.555</v>
      </c>
      <c r="AH39" s="39">
        <v>1000</v>
      </c>
      <c r="AI39" s="40">
        <f t="shared" si="4"/>
        <v>1.555</v>
      </c>
      <c r="AJ39" s="39">
        <v>1000</v>
      </c>
      <c r="AK39" s="40">
        <f aca="true" t="shared" si="30" ref="AK39:AK52">$C39/AJ39</f>
        <v>1.555</v>
      </c>
      <c r="AL39" s="39">
        <v>1000</v>
      </c>
      <c r="AM39" s="221">
        <f aca="true" t="shared" si="31" ref="AM39:AM52">$C39/AL39</f>
        <v>1.555</v>
      </c>
      <c r="AN39" s="204">
        <v>1000</v>
      </c>
      <c r="AO39" s="40">
        <f t="shared" si="5"/>
        <v>1.555</v>
      </c>
      <c r="AP39" s="39">
        <v>1200</v>
      </c>
      <c r="AQ39" s="239">
        <f aca="true" t="shared" si="32" ref="AQ39:AQ52">C39/AP39</f>
        <v>1.2958333333333334</v>
      </c>
      <c r="AR39" s="220">
        <v>1200</v>
      </c>
      <c r="AS39" s="40">
        <f t="shared" si="6"/>
        <v>1.2958333333333334</v>
      </c>
      <c r="AT39" s="39">
        <v>1200</v>
      </c>
      <c r="AU39" s="40">
        <f t="shared" si="7"/>
        <v>1.2958333333333334</v>
      </c>
      <c r="AV39" s="327"/>
    </row>
    <row r="40" spans="1:48" ht="13.5" customHeight="1">
      <c r="A40" s="327"/>
      <c r="B40" s="15" t="s">
        <v>131</v>
      </c>
      <c r="C40" s="348">
        <f>$C$5/12*1555</f>
        <v>1555</v>
      </c>
      <c r="D40" s="70">
        <v>100</v>
      </c>
      <c r="E40" s="280">
        <f t="shared" si="22"/>
        <v>15.55</v>
      </c>
      <c r="F40" s="305">
        <v>275</v>
      </c>
      <c r="G40" s="280">
        <f t="shared" si="23"/>
        <v>5.654545454545454</v>
      </c>
      <c r="H40" s="174">
        <v>460</v>
      </c>
      <c r="I40" s="120">
        <f t="shared" si="9"/>
        <v>3.380434782608696</v>
      </c>
      <c r="J40" s="174">
        <v>500</v>
      </c>
      <c r="K40" s="161">
        <f t="shared" si="24"/>
        <v>3.11</v>
      </c>
      <c r="L40" s="136">
        <v>1250</v>
      </c>
      <c r="M40" s="71">
        <f aca="true" t="shared" si="33" ref="M40:M52">C40/L40</f>
        <v>1.244</v>
      </c>
      <c r="N40" s="43">
        <v>1250</v>
      </c>
      <c r="O40" s="196">
        <f aca="true" t="shared" si="34" ref="O40:O51">C40/N40</f>
        <v>1.244</v>
      </c>
      <c r="P40" s="209">
        <v>1250</v>
      </c>
      <c r="Q40" s="25">
        <f t="shared" si="0"/>
        <v>1.244</v>
      </c>
      <c r="R40" s="17">
        <v>1250</v>
      </c>
      <c r="S40" s="25">
        <f t="shared" si="20"/>
        <v>1.244</v>
      </c>
      <c r="T40" s="17">
        <v>1250</v>
      </c>
      <c r="U40" s="25">
        <f t="shared" si="25"/>
        <v>1.244</v>
      </c>
      <c r="V40" s="17">
        <v>1250</v>
      </c>
      <c r="W40" s="222">
        <f t="shared" si="26"/>
        <v>1.244</v>
      </c>
      <c r="X40" s="200">
        <v>700</v>
      </c>
      <c r="Y40" s="25">
        <f t="shared" si="1"/>
        <v>2.2214285714285715</v>
      </c>
      <c r="Z40" s="17">
        <v>700</v>
      </c>
      <c r="AA40" s="25">
        <f t="shared" si="27"/>
        <v>2.2214285714285715</v>
      </c>
      <c r="AB40" s="17">
        <v>700</v>
      </c>
      <c r="AC40" s="25">
        <f t="shared" si="28"/>
        <v>2.2214285714285715</v>
      </c>
      <c r="AD40" s="17">
        <v>700</v>
      </c>
      <c r="AE40" s="240">
        <f t="shared" si="29"/>
        <v>2.2214285714285715</v>
      </c>
      <c r="AF40" s="209">
        <v>700</v>
      </c>
      <c r="AG40" s="25">
        <f t="shared" si="3"/>
        <v>2.2214285714285715</v>
      </c>
      <c r="AH40" s="17">
        <v>700</v>
      </c>
      <c r="AI40" s="25">
        <f t="shared" si="4"/>
        <v>2.2214285714285715</v>
      </c>
      <c r="AJ40" s="17">
        <v>700</v>
      </c>
      <c r="AK40" s="25">
        <f t="shared" si="30"/>
        <v>2.2214285714285715</v>
      </c>
      <c r="AL40" s="17">
        <v>700</v>
      </c>
      <c r="AM40" s="222">
        <f t="shared" si="31"/>
        <v>2.2214285714285715</v>
      </c>
      <c r="AN40" s="200">
        <v>700</v>
      </c>
      <c r="AO40" s="25">
        <f t="shared" si="5"/>
        <v>2.2214285714285715</v>
      </c>
      <c r="AP40" s="17">
        <v>700</v>
      </c>
      <c r="AQ40" s="240">
        <f t="shared" si="32"/>
        <v>2.2214285714285715</v>
      </c>
      <c r="AR40" s="209">
        <v>700</v>
      </c>
      <c r="AS40" s="25">
        <f t="shared" si="6"/>
        <v>2.2214285714285715</v>
      </c>
      <c r="AT40" s="17">
        <v>700</v>
      </c>
      <c r="AU40" s="25">
        <f t="shared" si="7"/>
        <v>2.2214285714285715</v>
      </c>
      <c r="AV40" s="327"/>
    </row>
    <row r="41" spans="1:48" ht="13.5" customHeight="1">
      <c r="A41" s="327"/>
      <c r="B41" s="45" t="s">
        <v>132</v>
      </c>
      <c r="C41" s="351">
        <f>$C$5/12*246</f>
        <v>246</v>
      </c>
      <c r="D41" s="72">
        <v>30</v>
      </c>
      <c r="E41" s="281">
        <f t="shared" si="22"/>
        <v>8.2</v>
      </c>
      <c r="F41" s="306">
        <v>75</v>
      </c>
      <c r="G41" s="281">
        <f t="shared" si="23"/>
        <v>3.28</v>
      </c>
      <c r="H41" s="175">
        <v>80</v>
      </c>
      <c r="I41" s="121">
        <f t="shared" si="9"/>
        <v>3.075</v>
      </c>
      <c r="J41" s="175">
        <v>130</v>
      </c>
      <c r="K41" s="151">
        <f t="shared" si="24"/>
        <v>1.8923076923076922</v>
      </c>
      <c r="L41" s="137">
        <v>240</v>
      </c>
      <c r="M41" s="69">
        <f t="shared" si="33"/>
        <v>1.025</v>
      </c>
      <c r="N41" s="46">
        <v>240</v>
      </c>
      <c r="O41" s="195">
        <f t="shared" si="34"/>
        <v>1.025</v>
      </c>
      <c r="P41" s="210">
        <v>410</v>
      </c>
      <c r="Q41" s="22">
        <f t="shared" si="0"/>
        <v>0.6</v>
      </c>
      <c r="R41" s="20">
        <v>360</v>
      </c>
      <c r="S41" s="22">
        <f t="shared" si="20"/>
        <v>0.6833333333333333</v>
      </c>
      <c r="T41" s="20">
        <v>400</v>
      </c>
      <c r="U41" s="22">
        <f t="shared" si="25"/>
        <v>0.615</v>
      </c>
      <c r="V41" s="20">
        <v>360</v>
      </c>
      <c r="W41" s="211">
        <f t="shared" si="26"/>
        <v>0.6833333333333333</v>
      </c>
      <c r="X41" s="132">
        <v>400</v>
      </c>
      <c r="Y41" s="22">
        <f t="shared" si="1"/>
        <v>0.615</v>
      </c>
      <c r="Z41" s="20">
        <v>310</v>
      </c>
      <c r="AA41" s="22">
        <f t="shared" si="27"/>
        <v>0.7935483870967742</v>
      </c>
      <c r="AB41" s="20">
        <v>350</v>
      </c>
      <c r="AC41" s="22">
        <f t="shared" si="28"/>
        <v>0.7028571428571428</v>
      </c>
      <c r="AD41" s="20">
        <v>310</v>
      </c>
      <c r="AE41" s="234">
        <f t="shared" si="29"/>
        <v>0.7935483870967742</v>
      </c>
      <c r="AF41" s="210">
        <v>420</v>
      </c>
      <c r="AG41" s="22">
        <f t="shared" si="3"/>
        <v>0.5857142857142857</v>
      </c>
      <c r="AH41" s="20">
        <v>320</v>
      </c>
      <c r="AI41" s="22">
        <f t="shared" si="4"/>
        <v>0.76875</v>
      </c>
      <c r="AJ41" s="20">
        <v>360</v>
      </c>
      <c r="AK41" s="22">
        <f t="shared" si="30"/>
        <v>0.6833333333333333</v>
      </c>
      <c r="AL41" s="20">
        <v>320</v>
      </c>
      <c r="AM41" s="211">
        <f t="shared" si="31"/>
        <v>0.76875</v>
      </c>
      <c r="AN41" s="132">
        <v>420</v>
      </c>
      <c r="AO41" s="22">
        <f t="shared" si="5"/>
        <v>0.5857142857142857</v>
      </c>
      <c r="AP41" s="20">
        <v>320</v>
      </c>
      <c r="AQ41" s="234">
        <f t="shared" si="32"/>
        <v>0.76875</v>
      </c>
      <c r="AR41" s="210">
        <v>420</v>
      </c>
      <c r="AS41" s="22">
        <f t="shared" si="6"/>
        <v>0.5857142857142857</v>
      </c>
      <c r="AT41" s="20">
        <v>320</v>
      </c>
      <c r="AU41" s="22">
        <f t="shared" si="7"/>
        <v>0.76875</v>
      </c>
      <c r="AV41" s="327"/>
    </row>
    <row r="42" spans="1:48" ht="13.5" customHeight="1">
      <c r="A42" s="327"/>
      <c r="B42" s="15" t="s">
        <v>133</v>
      </c>
      <c r="C42" s="347">
        <f>$C$5/12*26.9</f>
        <v>26.9</v>
      </c>
      <c r="D42" s="73">
        <v>0.27</v>
      </c>
      <c r="E42" s="280">
        <f t="shared" si="22"/>
        <v>99.62962962962962</v>
      </c>
      <c r="F42" s="305">
        <v>11</v>
      </c>
      <c r="G42" s="280">
        <f t="shared" si="23"/>
        <v>2.4454545454545453</v>
      </c>
      <c r="H42" s="174">
        <v>7</v>
      </c>
      <c r="I42" s="120">
        <f t="shared" si="9"/>
        <v>3.8428571428571425</v>
      </c>
      <c r="J42" s="174">
        <v>10</v>
      </c>
      <c r="K42" s="161">
        <f t="shared" si="24"/>
        <v>2.69</v>
      </c>
      <c r="L42" s="136">
        <v>8</v>
      </c>
      <c r="M42" s="71">
        <f t="shared" si="33"/>
        <v>3.3625</v>
      </c>
      <c r="N42" s="43">
        <v>8</v>
      </c>
      <c r="O42" s="196">
        <f t="shared" si="34"/>
        <v>3.3625</v>
      </c>
      <c r="P42" s="209">
        <v>3</v>
      </c>
      <c r="Q42" s="25">
        <f t="shared" si="0"/>
        <v>8.966666666666667</v>
      </c>
      <c r="R42" s="17">
        <v>15</v>
      </c>
      <c r="S42" s="25">
        <f t="shared" si="20"/>
        <v>1.7933333333333332</v>
      </c>
      <c r="T42" s="17">
        <v>27</v>
      </c>
      <c r="U42" s="25">
        <f t="shared" si="25"/>
        <v>0.9962962962962962</v>
      </c>
      <c r="V42" s="17">
        <v>10</v>
      </c>
      <c r="W42" s="222">
        <f t="shared" si="26"/>
        <v>2.69</v>
      </c>
      <c r="X42" s="200">
        <v>8</v>
      </c>
      <c r="Y42" s="25">
        <f t="shared" si="1"/>
        <v>3.3625</v>
      </c>
      <c r="Z42" s="17">
        <v>18</v>
      </c>
      <c r="AA42" s="25">
        <f t="shared" si="27"/>
        <v>1.4944444444444445</v>
      </c>
      <c r="AB42" s="17">
        <v>27</v>
      </c>
      <c r="AC42" s="25">
        <f t="shared" si="28"/>
        <v>0.9962962962962962</v>
      </c>
      <c r="AD42" s="17">
        <v>9</v>
      </c>
      <c r="AE42" s="240">
        <f t="shared" si="29"/>
        <v>2.988888888888889</v>
      </c>
      <c r="AF42" s="209">
        <v>8</v>
      </c>
      <c r="AG42" s="25">
        <f t="shared" si="3"/>
        <v>3.3625</v>
      </c>
      <c r="AH42" s="17">
        <v>18</v>
      </c>
      <c r="AI42" s="25">
        <f t="shared" si="4"/>
        <v>1.4944444444444445</v>
      </c>
      <c r="AJ42" s="17">
        <v>27</v>
      </c>
      <c r="AK42" s="25">
        <f t="shared" si="30"/>
        <v>0.9962962962962962</v>
      </c>
      <c r="AL42" s="17">
        <v>9</v>
      </c>
      <c r="AM42" s="222">
        <f t="shared" si="31"/>
        <v>2.988888888888889</v>
      </c>
      <c r="AN42" s="200">
        <v>8</v>
      </c>
      <c r="AO42" s="25">
        <f t="shared" si="5"/>
        <v>3.3625</v>
      </c>
      <c r="AP42" s="17">
        <v>8</v>
      </c>
      <c r="AQ42" s="240">
        <f t="shared" si="32"/>
        <v>3.3625</v>
      </c>
      <c r="AR42" s="209">
        <v>8</v>
      </c>
      <c r="AS42" s="25">
        <f t="shared" si="6"/>
        <v>3.3625</v>
      </c>
      <c r="AT42" s="17">
        <v>8</v>
      </c>
      <c r="AU42" s="25">
        <f t="shared" si="7"/>
        <v>3.3625</v>
      </c>
      <c r="AV42" s="327"/>
    </row>
    <row r="43" spans="1:48" ht="13.5" customHeight="1">
      <c r="A43" s="327"/>
      <c r="B43" s="45" t="s">
        <v>134</v>
      </c>
      <c r="C43" s="349">
        <f>$C$5/12*21.1</f>
        <v>21.1</v>
      </c>
      <c r="D43" s="72">
        <v>2</v>
      </c>
      <c r="E43" s="281">
        <f t="shared" si="22"/>
        <v>10.55</v>
      </c>
      <c r="F43" s="306">
        <v>3</v>
      </c>
      <c r="G43" s="281">
        <f t="shared" si="23"/>
        <v>7.033333333333334</v>
      </c>
      <c r="H43" s="175">
        <v>3</v>
      </c>
      <c r="I43" s="121">
        <f t="shared" si="9"/>
        <v>7.033333333333334</v>
      </c>
      <c r="J43" s="175">
        <v>5</v>
      </c>
      <c r="K43" s="151">
        <f t="shared" si="24"/>
        <v>4.220000000000001</v>
      </c>
      <c r="L43" s="137">
        <v>8</v>
      </c>
      <c r="M43" s="69">
        <f t="shared" si="33"/>
        <v>2.6375</v>
      </c>
      <c r="N43" s="46">
        <v>8</v>
      </c>
      <c r="O43" s="195">
        <f t="shared" si="34"/>
        <v>2.6375</v>
      </c>
      <c r="P43" s="210">
        <v>11</v>
      </c>
      <c r="Q43" s="22">
        <f t="shared" si="0"/>
        <v>1.9181818181818182</v>
      </c>
      <c r="R43" s="20">
        <v>9</v>
      </c>
      <c r="S43" s="22">
        <f t="shared" si="20"/>
        <v>2.3444444444444446</v>
      </c>
      <c r="T43" s="20">
        <v>12</v>
      </c>
      <c r="U43" s="22">
        <f t="shared" si="25"/>
        <v>1.7583333333333335</v>
      </c>
      <c r="V43" s="20">
        <v>14</v>
      </c>
      <c r="W43" s="211">
        <f t="shared" si="26"/>
        <v>1.5071428571428573</v>
      </c>
      <c r="X43" s="132">
        <v>11</v>
      </c>
      <c r="Y43" s="22">
        <f t="shared" si="1"/>
        <v>1.9181818181818182</v>
      </c>
      <c r="Z43" s="20">
        <v>8</v>
      </c>
      <c r="AA43" s="22">
        <f t="shared" si="27"/>
        <v>2.6375</v>
      </c>
      <c r="AB43" s="20">
        <v>11</v>
      </c>
      <c r="AC43" s="22">
        <f t="shared" si="28"/>
        <v>1.9181818181818182</v>
      </c>
      <c r="AD43" s="20">
        <v>12</v>
      </c>
      <c r="AE43" s="234">
        <f t="shared" si="29"/>
        <v>1.7583333333333335</v>
      </c>
      <c r="AF43" s="210">
        <v>11</v>
      </c>
      <c r="AG43" s="22">
        <f t="shared" si="3"/>
        <v>1.9181818181818182</v>
      </c>
      <c r="AH43" s="20">
        <v>8</v>
      </c>
      <c r="AI43" s="22">
        <f t="shared" si="4"/>
        <v>2.6375</v>
      </c>
      <c r="AJ43" s="20">
        <v>11</v>
      </c>
      <c r="AK43" s="22">
        <f t="shared" si="30"/>
        <v>1.9181818181818182</v>
      </c>
      <c r="AL43" s="20">
        <v>12</v>
      </c>
      <c r="AM43" s="211">
        <f t="shared" si="31"/>
        <v>1.7583333333333335</v>
      </c>
      <c r="AN43" s="132">
        <v>11</v>
      </c>
      <c r="AO43" s="22">
        <f t="shared" si="5"/>
        <v>1.9181818181818182</v>
      </c>
      <c r="AP43" s="20">
        <v>8</v>
      </c>
      <c r="AQ43" s="234">
        <f t="shared" si="32"/>
        <v>2.6375</v>
      </c>
      <c r="AR43" s="210">
        <v>11</v>
      </c>
      <c r="AS43" s="22">
        <f t="shared" si="6"/>
        <v>1.9181818181818182</v>
      </c>
      <c r="AT43" s="20">
        <v>8</v>
      </c>
      <c r="AU43" s="22">
        <f t="shared" si="7"/>
        <v>2.6375</v>
      </c>
      <c r="AV43" s="327"/>
    </row>
    <row r="44" spans="1:48" ht="13.5" customHeight="1">
      <c r="A44" s="327"/>
      <c r="B44" s="15" t="s">
        <v>135</v>
      </c>
      <c r="C44" s="347">
        <f>$C$5/12*3.6</f>
        <v>3.6</v>
      </c>
      <c r="D44" s="74">
        <v>0.003</v>
      </c>
      <c r="E44" s="280">
        <f t="shared" si="22"/>
        <v>1200</v>
      </c>
      <c r="F44" s="307">
        <v>0.6</v>
      </c>
      <c r="G44" s="280">
        <f t="shared" si="23"/>
        <v>6</v>
      </c>
      <c r="H44" s="176">
        <v>1.2</v>
      </c>
      <c r="I44" s="122">
        <f t="shared" si="9"/>
        <v>3</v>
      </c>
      <c r="J44" s="176">
        <v>1.5</v>
      </c>
      <c r="K44" s="164">
        <f t="shared" si="24"/>
        <v>2.4</v>
      </c>
      <c r="L44" s="145">
        <v>1.9</v>
      </c>
      <c r="M44" s="77">
        <f t="shared" si="33"/>
        <v>1.8947368421052633</v>
      </c>
      <c r="N44" s="76">
        <v>1.6</v>
      </c>
      <c r="O44" s="197">
        <f t="shared" si="34"/>
        <v>2.25</v>
      </c>
      <c r="P44" s="226">
        <v>2.2</v>
      </c>
      <c r="Q44" s="58">
        <f t="shared" si="0"/>
        <v>1.6363636363636362</v>
      </c>
      <c r="R44" s="16">
        <v>1.6</v>
      </c>
      <c r="S44" s="58">
        <f t="shared" si="20"/>
        <v>2.25</v>
      </c>
      <c r="T44" s="76">
        <v>2</v>
      </c>
      <c r="U44" s="58">
        <f t="shared" si="25"/>
        <v>1.8</v>
      </c>
      <c r="V44" s="76">
        <v>2.6</v>
      </c>
      <c r="W44" s="227">
        <f t="shared" si="26"/>
        <v>1.3846153846153846</v>
      </c>
      <c r="X44" s="131">
        <v>2.3</v>
      </c>
      <c r="Y44" s="58">
        <f t="shared" si="1"/>
        <v>1.565217391304348</v>
      </c>
      <c r="Z44" s="16">
        <v>1.8</v>
      </c>
      <c r="AA44" s="58">
        <f t="shared" si="27"/>
        <v>2</v>
      </c>
      <c r="AB44" s="76">
        <v>2</v>
      </c>
      <c r="AC44" s="58">
        <f t="shared" si="28"/>
        <v>1.8</v>
      </c>
      <c r="AD44" s="76">
        <v>2.6</v>
      </c>
      <c r="AE44" s="243">
        <f t="shared" si="29"/>
        <v>1.3846153846153846</v>
      </c>
      <c r="AF44" s="226">
        <v>2.3</v>
      </c>
      <c r="AG44" s="58">
        <f t="shared" si="3"/>
        <v>1.565217391304348</v>
      </c>
      <c r="AH44" s="16">
        <v>1.8</v>
      </c>
      <c r="AI44" s="58">
        <f t="shared" si="4"/>
        <v>2</v>
      </c>
      <c r="AJ44" s="76">
        <v>2</v>
      </c>
      <c r="AK44" s="58">
        <f t="shared" si="30"/>
        <v>1.8</v>
      </c>
      <c r="AL44" s="76">
        <v>2.6</v>
      </c>
      <c r="AM44" s="227">
        <f t="shared" si="31"/>
        <v>1.3846153846153846</v>
      </c>
      <c r="AN44" s="131">
        <v>2.3</v>
      </c>
      <c r="AO44" s="58">
        <f t="shared" si="5"/>
        <v>1.565217391304348</v>
      </c>
      <c r="AP44" s="16">
        <v>1.8</v>
      </c>
      <c r="AQ44" s="243">
        <f t="shared" si="32"/>
        <v>2</v>
      </c>
      <c r="AR44" s="226">
        <v>2.3</v>
      </c>
      <c r="AS44" s="58">
        <f t="shared" si="6"/>
        <v>1.565217391304348</v>
      </c>
      <c r="AT44" s="16">
        <v>1.8</v>
      </c>
      <c r="AU44" s="58">
        <f t="shared" si="7"/>
        <v>2</v>
      </c>
      <c r="AV44" s="327"/>
    </row>
    <row r="45" spans="1:48" ht="13.5" customHeight="1">
      <c r="A45" s="327"/>
      <c r="B45" s="45" t="s">
        <v>136</v>
      </c>
      <c r="C45" s="351">
        <f>$C$5/12*1900</f>
        <v>1900</v>
      </c>
      <c r="D45" s="72">
        <v>200</v>
      </c>
      <c r="E45" s="281">
        <f t="shared" si="22"/>
        <v>9.5</v>
      </c>
      <c r="F45" s="306">
        <v>220</v>
      </c>
      <c r="G45" s="281">
        <f t="shared" si="23"/>
        <v>8.636363636363637</v>
      </c>
      <c r="H45" s="175">
        <v>340</v>
      </c>
      <c r="I45" s="121">
        <f t="shared" si="9"/>
        <v>5.588235294117647</v>
      </c>
      <c r="J45" s="175">
        <v>440</v>
      </c>
      <c r="K45" s="151">
        <f t="shared" si="24"/>
        <v>4.318181818181818</v>
      </c>
      <c r="L45" s="137">
        <v>700</v>
      </c>
      <c r="M45" s="69">
        <f t="shared" si="33"/>
        <v>2.7142857142857144</v>
      </c>
      <c r="N45" s="46">
        <v>700</v>
      </c>
      <c r="O45" s="195">
        <f t="shared" si="34"/>
        <v>2.7142857142857144</v>
      </c>
      <c r="P45" s="210">
        <v>890</v>
      </c>
      <c r="Q45" s="22">
        <f t="shared" si="0"/>
        <v>2.134831460674157</v>
      </c>
      <c r="R45" s="20">
        <v>890</v>
      </c>
      <c r="S45" s="22">
        <f t="shared" si="20"/>
        <v>2.134831460674157</v>
      </c>
      <c r="T45" s="20">
        <v>1000</v>
      </c>
      <c r="U45" s="22">
        <f t="shared" si="25"/>
        <v>1.9</v>
      </c>
      <c r="V45" s="20">
        <v>1300</v>
      </c>
      <c r="W45" s="211">
        <f t="shared" si="26"/>
        <v>1.4615384615384615</v>
      </c>
      <c r="X45" s="132">
        <v>900</v>
      </c>
      <c r="Y45" s="22">
        <f t="shared" si="1"/>
        <v>2.111111111111111</v>
      </c>
      <c r="Z45" s="20">
        <v>900</v>
      </c>
      <c r="AA45" s="22">
        <f t="shared" si="27"/>
        <v>2.111111111111111</v>
      </c>
      <c r="AB45" s="20">
        <v>1000</v>
      </c>
      <c r="AC45" s="22">
        <f t="shared" si="28"/>
        <v>1.9</v>
      </c>
      <c r="AD45" s="20">
        <v>1300</v>
      </c>
      <c r="AE45" s="234">
        <f t="shared" si="29"/>
        <v>1.4615384615384615</v>
      </c>
      <c r="AF45" s="210">
        <v>900</v>
      </c>
      <c r="AG45" s="22">
        <f t="shared" si="3"/>
        <v>2.111111111111111</v>
      </c>
      <c r="AH45" s="20">
        <v>900</v>
      </c>
      <c r="AI45" s="22">
        <f t="shared" si="4"/>
        <v>2.111111111111111</v>
      </c>
      <c r="AJ45" s="20">
        <v>1000</v>
      </c>
      <c r="AK45" s="22">
        <f t="shared" si="30"/>
        <v>1.9</v>
      </c>
      <c r="AL45" s="20">
        <v>1300</v>
      </c>
      <c r="AM45" s="211">
        <f t="shared" si="31"/>
        <v>1.4615384615384615</v>
      </c>
      <c r="AN45" s="132">
        <v>900</v>
      </c>
      <c r="AO45" s="22">
        <f t="shared" si="5"/>
        <v>2.111111111111111</v>
      </c>
      <c r="AP45" s="20">
        <v>900</v>
      </c>
      <c r="AQ45" s="234">
        <f t="shared" si="32"/>
        <v>2.111111111111111</v>
      </c>
      <c r="AR45" s="210">
        <v>900</v>
      </c>
      <c r="AS45" s="22">
        <f t="shared" si="6"/>
        <v>2.111111111111111</v>
      </c>
      <c r="AT45" s="20">
        <v>900</v>
      </c>
      <c r="AU45" s="22">
        <f t="shared" si="7"/>
        <v>2.111111111111111</v>
      </c>
      <c r="AV45" s="327"/>
    </row>
    <row r="46" spans="1:48" ht="13.5" customHeight="1">
      <c r="A46" s="327"/>
      <c r="B46" s="15" t="s">
        <v>137</v>
      </c>
      <c r="C46" s="348">
        <f>$C$5/12*276</f>
        <v>276</v>
      </c>
      <c r="D46" s="70">
        <v>110</v>
      </c>
      <c r="E46" s="280">
        <f t="shared" si="22"/>
        <v>2.5090909090909093</v>
      </c>
      <c r="F46" s="305">
        <v>130</v>
      </c>
      <c r="G46" s="280">
        <f t="shared" si="23"/>
        <v>2.123076923076923</v>
      </c>
      <c r="H46" s="174">
        <v>90</v>
      </c>
      <c r="I46" s="120">
        <f t="shared" si="9"/>
        <v>3.066666666666667</v>
      </c>
      <c r="J46" s="174">
        <v>90</v>
      </c>
      <c r="K46" s="161">
        <f t="shared" si="24"/>
        <v>3.066666666666667</v>
      </c>
      <c r="L46" s="136">
        <v>120</v>
      </c>
      <c r="M46" s="71">
        <f t="shared" si="33"/>
        <v>2.3</v>
      </c>
      <c r="N46" s="43">
        <v>120</v>
      </c>
      <c r="O46" s="196">
        <f t="shared" si="34"/>
        <v>2.3</v>
      </c>
      <c r="P46" s="209">
        <v>150</v>
      </c>
      <c r="Q46" s="25">
        <f t="shared" si="0"/>
        <v>1.84</v>
      </c>
      <c r="R46" s="17">
        <v>150</v>
      </c>
      <c r="S46" s="25">
        <f t="shared" si="20"/>
        <v>1.84</v>
      </c>
      <c r="T46" s="17">
        <v>220</v>
      </c>
      <c r="U46" s="25">
        <f t="shared" si="25"/>
        <v>1.2545454545454546</v>
      </c>
      <c r="V46" s="17">
        <v>290</v>
      </c>
      <c r="W46" s="222">
        <f t="shared" si="26"/>
        <v>0.9517241379310345</v>
      </c>
      <c r="X46" s="200">
        <v>150</v>
      </c>
      <c r="Y46" s="25">
        <f t="shared" si="1"/>
        <v>1.84</v>
      </c>
      <c r="Z46" s="17">
        <v>150</v>
      </c>
      <c r="AA46" s="25">
        <f t="shared" si="27"/>
        <v>1.84</v>
      </c>
      <c r="AB46" s="17">
        <v>220</v>
      </c>
      <c r="AC46" s="25">
        <f t="shared" si="28"/>
        <v>1.2545454545454546</v>
      </c>
      <c r="AD46" s="17">
        <v>290</v>
      </c>
      <c r="AE46" s="240">
        <f t="shared" si="29"/>
        <v>0.9517241379310345</v>
      </c>
      <c r="AF46" s="209">
        <v>150</v>
      </c>
      <c r="AG46" s="25">
        <f t="shared" si="3"/>
        <v>1.84</v>
      </c>
      <c r="AH46" s="17">
        <v>150</v>
      </c>
      <c r="AI46" s="25">
        <f t="shared" si="4"/>
        <v>1.84</v>
      </c>
      <c r="AJ46" s="17">
        <v>220</v>
      </c>
      <c r="AK46" s="25">
        <f t="shared" si="30"/>
        <v>1.2545454545454546</v>
      </c>
      <c r="AL46" s="17">
        <v>290</v>
      </c>
      <c r="AM46" s="222">
        <f t="shared" si="31"/>
        <v>0.9517241379310345</v>
      </c>
      <c r="AN46" s="200">
        <v>150</v>
      </c>
      <c r="AO46" s="25">
        <f t="shared" si="5"/>
        <v>1.84</v>
      </c>
      <c r="AP46" s="17">
        <v>150</v>
      </c>
      <c r="AQ46" s="240">
        <f t="shared" si="32"/>
        <v>1.84</v>
      </c>
      <c r="AR46" s="209">
        <v>150</v>
      </c>
      <c r="AS46" s="25">
        <f t="shared" si="6"/>
        <v>1.84</v>
      </c>
      <c r="AT46" s="17">
        <v>150</v>
      </c>
      <c r="AU46" s="25">
        <f t="shared" si="7"/>
        <v>1.84</v>
      </c>
      <c r="AV46" s="327"/>
    </row>
    <row r="47" spans="1:48" ht="13.5" customHeight="1">
      <c r="A47" s="327"/>
      <c r="B47" s="45" t="s">
        <v>138</v>
      </c>
      <c r="C47" s="349">
        <f>$C$5/12*63.4</f>
        <v>63.4</v>
      </c>
      <c r="D47" s="72">
        <v>2</v>
      </c>
      <c r="E47" s="281">
        <f t="shared" si="22"/>
        <v>31.7</v>
      </c>
      <c r="F47" s="306">
        <v>3</v>
      </c>
      <c r="G47" s="281">
        <f t="shared" si="23"/>
        <v>21.133333333333333</v>
      </c>
      <c r="H47" s="175">
        <v>17</v>
      </c>
      <c r="I47" s="121">
        <f t="shared" si="9"/>
        <v>3.7294117647058824</v>
      </c>
      <c r="J47" s="175">
        <v>22</v>
      </c>
      <c r="K47" s="151">
        <f t="shared" si="24"/>
        <v>2.881818181818182</v>
      </c>
      <c r="L47" s="137">
        <v>34</v>
      </c>
      <c r="M47" s="69">
        <f t="shared" si="33"/>
        <v>1.8647058823529412</v>
      </c>
      <c r="N47" s="46">
        <v>34</v>
      </c>
      <c r="O47" s="195">
        <f t="shared" si="34"/>
        <v>1.8647058823529412</v>
      </c>
      <c r="P47" s="210">
        <v>43</v>
      </c>
      <c r="Q47" s="22">
        <f t="shared" si="0"/>
        <v>1.4744186046511627</v>
      </c>
      <c r="R47" s="20">
        <v>43</v>
      </c>
      <c r="S47" s="22">
        <f t="shared" si="20"/>
        <v>1.4744186046511627</v>
      </c>
      <c r="T47" s="20">
        <v>50</v>
      </c>
      <c r="U47" s="22">
        <f t="shared" si="25"/>
        <v>1.268</v>
      </c>
      <c r="V47" s="20">
        <v>50</v>
      </c>
      <c r="W47" s="211">
        <f t="shared" si="26"/>
        <v>1.268</v>
      </c>
      <c r="X47" s="132">
        <v>45</v>
      </c>
      <c r="Y47" s="22">
        <f t="shared" si="1"/>
        <v>1.4088888888888889</v>
      </c>
      <c r="Z47" s="20">
        <v>45</v>
      </c>
      <c r="AA47" s="22">
        <f t="shared" si="27"/>
        <v>1.4088888888888889</v>
      </c>
      <c r="AB47" s="20">
        <v>50</v>
      </c>
      <c r="AC47" s="22">
        <f t="shared" si="28"/>
        <v>1.268</v>
      </c>
      <c r="AD47" s="20">
        <v>50</v>
      </c>
      <c r="AE47" s="234">
        <f t="shared" si="29"/>
        <v>1.268</v>
      </c>
      <c r="AF47" s="210">
        <v>45</v>
      </c>
      <c r="AG47" s="22">
        <f t="shared" si="3"/>
        <v>1.4088888888888889</v>
      </c>
      <c r="AH47" s="20">
        <v>45</v>
      </c>
      <c r="AI47" s="22">
        <f t="shared" si="4"/>
        <v>1.4088888888888889</v>
      </c>
      <c r="AJ47" s="20">
        <v>50</v>
      </c>
      <c r="AK47" s="22">
        <f t="shared" si="30"/>
        <v>1.268</v>
      </c>
      <c r="AL47" s="20">
        <v>50</v>
      </c>
      <c r="AM47" s="211">
        <f t="shared" si="31"/>
        <v>1.268</v>
      </c>
      <c r="AN47" s="132">
        <v>45</v>
      </c>
      <c r="AO47" s="22">
        <f t="shared" si="5"/>
        <v>1.4088888888888889</v>
      </c>
      <c r="AP47" s="20">
        <v>45</v>
      </c>
      <c r="AQ47" s="234">
        <f t="shared" si="32"/>
        <v>1.4088888888888889</v>
      </c>
      <c r="AR47" s="210">
        <v>45</v>
      </c>
      <c r="AS47" s="22">
        <f t="shared" si="6"/>
        <v>1.4088888888888889</v>
      </c>
      <c r="AT47" s="20">
        <v>45</v>
      </c>
      <c r="AU47" s="22">
        <f t="shared" si="7"/>
        <v>1.4088888888888889</v>
      </c>
      <c r="AV47" s="327"/>
    </row>
    <row r="48" spans="1:48" ht="13.5" customHeight="1">
      <c r="A48" s="327"/>
      <c r="B48" s="15" t="s">
        <v>139</v>
      </c>
      <c r="C48" s="347">
        <f>$C$5/12*41.3</f>
        <v>41.3</v>
      </c>
      <c r="D48" s="75">
        <v>0.2</v>
      </c>
      <c r="E48" s="280">
        <f t="shared" si="22"/>
        <v>206.49999999999997</v>
      </c>
      <c r="F48" s="307">
        <v>5.5</v>
      </c>
      <c r="G48" s="280">
        <f t="shared" si="23"/>
        <v>7.509090909090909</v>
      </c>
      <c r="H48" s="149">
        <v>11</v>
      </c>
      <c r="I48" s="124">
        <f t="shared" si="9"/>
        <v>3.7545454545454544</v>
      </c>
      <c r="J48" s="149">
        <v>15</v>
      </c>
      <c r="K48" s="167">
        <f t="shared" si="24"/>
        <v>2.753333333333333</v>
      </c>
      <c r="L48" s="142">
        <v>25</v>
      </c>
      <c r="M48" s="77">
        <f t="shared" si="33"/>
        <v>1.652</v>
      </c>
      <c r="N48" s="56">
        <v>21</v>
      </c>
      <c r="O48" s="197">
        <f t="shared" si="34"/>
        <v>1.9666666666666666</v>
      </c>
      <c r="P48" s="226">
        <v>35</v>
      </c>
      <c r="Q48" s="58">
        <f t="shared" si="0"/>
        <v>1.18</v>
      </c>
      <c r="R48" s="16">
        <v>24</v>
      </c>
      <c r="S48" s="58">
        <f t="shared" si="20"/>
        <v>1.7208333333333332</v>
      </c>
      <c r="T48" s="16">
        <v>29</v>
      </c>
      <c r="U48" s="58">
        <f t="shared" si="25"/>
        <v>1.4241379310344826</v>
      </c>
      <c r="V48" s="16">
        <v>44</v>
      </c>
      <c r="W48" s="227">
        <f t="shared" si="26"/>
        <v>0.9386363636363636</v>
      </c>
      <c r="X48" s="131">
        <v>35</v>
      </c>
      <c r="Y48" s="58">
        <f t="shared" si="1"/>
        <v>1.18</v>
      </c>
      <c r="Z48" s="16">
        <v>25</v>
      </c>
      <c r="AA48" s="58">
        <f t="shared" si="27"/>
        <v>1.652</v>
      </c>
      <c r="AB48" s="16">
        <v>30</v>
      </c>
      <c r="AC48" s="58">
        <f t="shared" si="28"/>
        <v>1.3766666666666665</v>
      </c>
      <c r="AD48" s="16">
        <v>45</v>
      </c>
      <c r="AE48" s="243">
        <f t="shared" si="29"/>
        <v>0.9177777777777777</v>
      </c>
      <c r="AF48" s="226">
        <v>35</v>
      </c>
      <c r="AG48" s="58">
        <f t="shared" si="3"/>
        <v>1.18</v>
      </c>
      <c r="AH48" s="16">
        <v>25</v>
      </c>
      <c r="AI48" s="58">
        <f t="shared" si="4"/>
        <v>1.652</v>
      </c>
      <c r="AJ48" s="16">
        <v>30</v>
      </c>
      <c r="AK48" s="58">
        <f t="shared" si="30"/>
        <v>1.3766666666666665</v>
      </c>
      <c r="AL48" s="16">
        <v>45</v>
      </c>
      <c r="AM48" s="227">
        <f t="shared" si="31"/>
        <v>0.9177777777777777</v>
      </c>
      <c r="AN48" s="131">
        <v>30</v>
      </c>
      <c r="AO48" s="58">
        <f t="shared" si="5"/>
        <v>1.3766666666666665</v>
      </c>
      <c r="AP48" s="16">
        <v>20</v>
      </c>
      <c r="AQ48" s="243">
        <f t="shared" si="32"/>
        <v>2.065</v>
      </c>
      <c r="AR48" s="226">
        <v>30</v>
      </c>
      <c r="AS48" s="58">
        <f t="shared" si="6"/>
        <v>1.3766666666666665</v>
      </c>
      <c r="AT48" s="16">
        <v>20</v>
      </c>
      <c r="AU48" s="58">
        <f t="shared" si="7"/>
        <v>2.065</v>
      </c>
      <c r="AV48" s="327"/>
    </row>
    <row r="49" spans="1:48" ht="13.5" customHeight="1">
      <c r="A49" s="327"/>
      <c r="B49" s="45" t="s">
        <v>140</v>
      </c>
      <c r="C49" s="349">
        <f>$C$5/12*76.8</f>
        <v>76.8</v>
      </c>
      <c r="D49" s="78">
        <v>15</v>
      </c>
      <c r="E49" s="270">
        <f t="shared" si="22"/>
        <v>5.12</v>
      </c>
      <c r="F49" s="308">
        <v>20</v>
      </c>
      <c r="G49" s="270">
        <f t="shared" si="23"/>
        <v>3.84</v>
      </c>
      <c r="H49" s="150">
        <v>20</v>
      </c>
      <c r="I49" s="115">
        <f t="shared" si="9"/>
        <v>3.84</v>
      </c>
      <c r="J49" s="150">
        <v>30</v>
      </c>
      <c r="K49" s="177">
        <f t="shared" si="24"/>
        <v>2.56</v>
      </c>
      <c r="L49" s="137">
        <v>40</v>
      </c>
      <c r="M49" s="69">
        <f t="shared" si="33"/>
        <v>1.92</v>
      </c>
      <c r="N49" s="46">
        <v>40</v>
      </c>
      <c r="O49" s="195">
        <f t="shared" si="34"/>
        <v>1.92</v>
      </c>
      <c r="P49" s="210">
        <v>55</v>
      </c>
      <c r="Q49" s="22">
        <f t="shared" si="0"/>
        <v>1.3963636363636363</v>
      </c>
      <c r="R49" s="20">
        <v>55</v>
      </c>
      <c r="S49" s="22">
        <f t="shared" si="20"/>
        <v>1.3963636363636363</v>
      </c>
      <c r="T49" s="20">
        <v>60</v>
      </c>
      <c r="U49" s="22">
        <f t="shared" si="25"/>
        <v>1.28</v>
      </c>
      <c r="V49" s="20">
        <v>70</v>
      </c>
      <c r="W49" s="211">
        <f t="shared" si="26"/>
        <v>1.0971428571428572</v>
      </c>
      <c r="X49" s="132">
        <v>55</v>
      </c>
      <c r="Y49" s="22">
        <f t="shared" si="1"/>
        <v>1.3963636363636363</v>
      </c>
      <c r="Z49" s="20">
        <v>55</v>
      </c>
      <c r="AA49" s="22">
        <f t="shared" si="27"/>
        <v>1.3963636363636363</v>
      </c>
      <c r="AB49" s="20">
        <v>60</v>
      </c>
      <c r="AC49" s="22">
        <f t="shared" si="28"/>
        <v>1.28</v>
      </c>
      <c r="AD49" s="20">
        <v>70</v>
      </c>
      <c r="AE49" s="234">
        <f t="shared" si="29"/>
        <v>1.0971428571428572</v>
      </c>
      <c r="AF49" s="210">
        <v>55</v>
      </c>
      <c r="AG49" s="22">
        <f t="shared" si="3"/>
        <v>1.3963636363636363</v>
      </c>
      <c r="AH49" s="20">
        <v>55</v>
      </c>
      <c r="AI49" s="22">
        <f t="shared" si="4"/>
        <v>1.3963636363636363</v>
      </c>
      <c r="AJ49" s="20">
        <v>60</v>
      </c>
      <c r="AK49" s="22">
        <f t="shared" si="30"/>
        <v>1.28</v>
      </c>
      <c r="AL49" s="20">
        <v>70</v>
      </c>
      <c r="AM49" s="211">
        <f t="shared" si="31"/>
        <v>1.0971428571428572</v>
      </c>
      <c r="AN49" s="132">
        <v>55</v>
      </c>
      <c r="AO49" s="22">
        <f t="shared" si="5"/>
        <v>1.3963636363636363</v>
      </c>
      <c r="AP49" s="20">
        <v>55</v>
      </c>
      <c r="AQ49" s="234">
        <f t="shared" si="32"/>
        <v>1.3963636363636363</v>
      </c>
      <c r="AR49" s="210">
        <v>55</v>
      </c>
      <c r="AS49" s="22">
        <f t="shared" si="6"/>
        <v>1.3963636363636363</v>
      </c>
      <c r="AT49" s="20">
        <v>55</v>
      </c>
      <c r="AU49" s="22">
        <f t="shared" si="7"/>
        <v>1.3963636363636363</v>
      </c>
      <c r="AV49" s="327"/>
    </row>
    <row r="50" spans="1:48" ht="13.5" customHeight="1">
      <c r="A50" s="327"/>
      <c r="B50" s="15" t="s">
        <v>141</v>
      </c>
      <c r="C50" s="348">
        <f>$C$5/12*1114</f>
        <v>1114</v>
      </c>
      <c r="D50" s="79">
        <v>120</v>
      </c>
      <c r="E50" s="309">
        <f t="shared" si="22"/>
        <v>9.283333333333333</v>
      </c>
      <c r="F50" s="310">
        <v>370</v>
      </c>
      <c r="G50" s="288">
        <f t="shared" si="23"/>
        <v>3.0108108108108107</v>
      </c>
      <c r="H50" s="178">
        <v>1000</v>
      </c>
      <c r="I50" s="127">
        <f>C50/H50</f>
        <v>1.114</v>
      </c>
      <c r="J50" s="178">
        <v>1200</v>
      </c>
      <c r="K50" s="179">
        <f>C50/J50</f>
        <v>0.9283333333333333</v>
      </c>
      <c r="L50" s="142">
        <v>1500</v>
      </c>
      <c r="M50" s="77">
        <f t="shared" si="33"/>
        <v>0.7426666666666667</v>
      </c>
      <c r="N50" s="56">
        <v>1500</v>
      </c>
      <c r="O50" s="197">
        <f t="shared" si="34"/>
        <v>0.7426666666666667</v>
      </c>
      <c r="P50" s="226">
        <v>1500</v>
      </c>
      <c r="Q50" s="58">
        <f t="shared" si="0"/>
        <v>0.7426666666666667</v>
      </c>
      <c r="R50" s="16">
        <v>1500</v>
      </c>
      <c r="S50" s="58">
        <f t="shared" si="20"/>
        <v>0.7426666666666667</v>
      </c>
      <c r="T50" s="16">
        <v>1500</v>
      </c>
      <c r="U50" s="58">
        <f t="shared" si="25"/>
        <v>0.7426666666666667</v>
      </c>
      <c r="V50" s="16">
        <v>1500</v>
      </c>
      <c r="W50" s="227">
        <f t="shared" si="26"/>
        <v>0.7426666666666667</v>
      </c>
      <c r="X50" s="131">
        <v>1500</v>
      </c>
      <c r="Y50" s="58">
        <f t="shared" si="1"/>
        <v>0.7426666666666667</v>
      </c>
      <c r="Z50" s="16">
        <v>1500</v>
      </c>
      <c r="AA50" s="58">
        <f t="shared" si="27"/>
        <v>0.7426666666666667</v>
      </c>
      <c r="AB50" s="16">
        <v>1500</v>
      </c>
      <c r="AC50" s="58">
        <f t="shared" si="28"/>
        <v>0.7426666666666667</v>
      </c>
      <c r="AD50" s="16">
        <v>1500</v>
      </c>
      <c r="AE50" s="243">
        <f t="shared" si="29"/>
        <v>0.7426666666666667</v>
      </c>
      <c r="AF50" s="226">
        <v>1500</v>
      </c>
      <c r="AG50" s="58">
        <f t="shared" si="3"/>
        <v>0.7426666666666667</v>
      </c>
      <c r="AH50" s="16">
        <v>1500</v>
      </c>
      <c r="AI50" s="58">
        <f t="shared" si="4"/>
        <v>0.7426666666666667</v>
      </c>
      <c r="AJ50" s="16">
        <v>1500</v>
      </c>
      <c r="AK50" s="58">
        <f t="shared" si="30"/>
        <v>0.7426666666666667</v>
      </c>
      <c r="AL50" s="16">
        <v>1500</v>
      </c>
      <c r="AM50" s="227">
        <f t="shared" si="31"/>
        <v>0.7426666666666667</v>
      </c>
      <c r="AN50" s="131">
        <v>1300</v>
      </c>
      <c r="AO50" s="58">
        <f t="shared" si="5"/>
        <v>0.8569230769230769</v>
      </c>
      <c r="AP50" s="16">
        <v>1300</v>
      </c>
      <c r="AQ50" s="243">
        <f t="shared" si="32"/>
        <v>0.8569230769230769</v>
      </c>
      <c r="AR50" s="226">
        <v>1200</v>
      </c>
      <c r="AS50" s="58">
        <f t="shared" si="6"/>
        <v>0.9283333333333333</v>
      </c>
      <c r="AT50" s="16">
        <v>1200</v>
      </c>
      <c r="AU50" s="58">
        <f t="shared" si="7"/>
        <v>0.9283333333333333</v>
      </c>
      <c r="AV50" s="327"/>
    </row>
    <row r="51" spans="1:48" ht="13.5" customHeight="1">
      <c r="A51" s="327"/>
      <c r="B51" s="60" t="s">
        <v>64</v>
      </c>
      <c r="C51" s="353">
        <f>$C$5/12*1613</f>
        <v>1613</v>
      </c>
      <c r="D51" s="80">
        <v>400</v>
      </c>
      <c r="E51" s="273">
        <f t="shared" si="22"/>
        <v>4.0325</v>
      </c>
      <c r="F51" s="311">
        <v>700</v>
      </c>
      <c r="G51" s="273">
        <f t="shared" si="23"/>
        <v>2.3042857142857143</v>
      </c>
      <c r="H51" s="180">
        <v>3000</v>
      </c>
      <c r="I51" s="128">
        <f>C51/H51</f>
        <v>0.5376666666666666</v>
      </c>
      <c r="J51" s="180">
        <v>3800</v>
      </c>
      <c r="K51" s="181">
        <f>C51/J51</f>
        <v>0.42447368421052634</v>
      </c>
      <c r="L51" s="141">
        <v>4500</v>
      </c>
      <c r="M51" s="81">
        <f t="shared" si="33"/>
        <v>0.35844444444444445</v>
      </c>
      <c r="N51" s="52">
        <v>4500</v>
      </c>
      <c r="O51" s="198">
        <f t="shared" si="34"/>
        <v>0.35844444444444445</v>
      </c>
      <c r="P51" s="224">
        <v>4700</v>
      </c>
      <c r="Q51" s="55">
        <f t="shared" si="0"/>
        <v>0.34319148936170213</v>
      </c>
      <c r="R51" s="54">
        <v>4700</v>
      </c>
      <c r="S51" s="55">
        <f t="shared" si="20"/>
        <v>0.34319148936170213</v>
      </c>
      <c r="T51" s="54">
        <v>4700</v>
      </c>
      <c r="U51" s="55">
        <f t="shared" si="25"/>
        <v>0.34319148936170213</v>
      </c>
      <c r="V51" s="54">
        <v>5100</v>
      </c>
      <c r="W51" s="225">
        <f t="shared" si="26"/>
        <v>0.3162745098039216</v>
      </c>
      <c r="X51" s="205">
        <v>4700</v>
      </c>
      <c r="Y51" s="55">
        <f t="shared" si="1"/>
        <v>0.34319148936170213</v>
      </c>
      <c r="Z51" s="54">
        <v>4700</v>
      </c>
      <c r="AA51" s="55">
        <f t="shared" si="27"/>
        <v>0.34319148936170213</v>
      </c>
      <c r="AB51" s="54">
        <v>4700</v>
      </c>
      <c r="AC51" s="55">
        <f t="shared" si="28"/>
        <v>0.34319148936170213</v>
      </c>
      <c r="AD51" s="54">
        <v>5100</v>
      </c>
      <c r="AE51" s="242">
        <f t="shared" si="29"/>
        <v>0.3162745098039216</v>
      </c>
      <c r="AF51" s="224">
        <v>4700</v>
      </c>
      <c r="AG51" s="55">
        <f t="shared" si="3"/>
        <v>0.34319148936170213</v>
      </c>
      <c r="AH51" s="54">
        <v>4700</v>
      </c>
      <c r="AI51" s="55">
        <f t="shared" si="4"/>
        <v>0.34319148936170213</v>
      </c>
      <c r="AJ51" s="54">
        <v>4700</v>
      </c>
      <c r="AK51" s="55">
        <f t="shared" si="30"/>
        <v>0.34319148936170213</v>
      </c>
      <c r="AL51" s="54">
        <v>5100</v>
      </c>
      <c r="AM51" s="225">
        <f t="shared" si="31"/>
        <v>0.3162745098039216</v>
      </c>
      <c r="AN51" s="205">
        <v>4700</v>
      </c>
      <c r="AO51" s="55">
        <f t="shared" si="5"/>
        <v>0.34319148936170213</v>
      </c>
      <c r="AP51" s="54">
        <v>4700</v>
      </c>
      <c r="AQ51" s="242">
        <f t="shared" si="32"/>
        <v>0.34319148936170213</v>
      </c>
      <c r="AR51" s="224">
        <v>4700</v>
      </c>
      <c r="AS51" s="55">
        <f t="shared" si="6"/>
        <v>0.34319148936170213</v>
      </c>
      <c r="AT51" s="54">
        <v>4700</v>
      </c>
      <c r="AU51" s="55">
        <f t="shared" si="7"/>
        <v>0.34319148936170213</v>
      </c>
      <c r="AV51" s="327"/>
    </row>
    <row r="52" spans="1:48" ht="13.5" customHeight="1" thickBot="1">
      <c r="A52" s="327"/>
      <c r="B52" s="82" t="s">
        <v>142</v>
      </c>
      <c r="C52" s="354">
        <f>$C$5/12*864</f>
        <v>864</v>
      </c>
      <c r="D52" s="83">
        <v>180</v>
      </c>
      <c r="E52" s="289">
        <f t="shared" si="22"/>
        <v>4.8</v>
      </c>
      <c r="F52" s="312">
        <v>570</v>
      </c>
      <c r="G52" s="289">
        <f t="shared" si="23"/>
        <v>1.5157894736842106</v>
      </c>
      <c r="H52" s="182">
        <v>1500</v>
      </c>
      <c r="I52" s="129">
        <f>C52/H52</f>
        <v>0.576</v>
      </c>
      <c r="J52" s="182">
        <v>1900</v>
      </c>
      <c r="K52" s="183">
        <f>C52/J52</f>
        <v>0.45473684210526316</v>
      </c>
      <c r="L52" s="146">
        <v>2300</v>
      </c>
      <c r="M52" s="85">
        <f t="shared" si="33"/>
        <v>0.37565217391304345</v>
      </c>
      <c r="N52" s="84">
        <v>2300</v>
      </c>
      <c r="O52" s="199">
        <f>C52/N52</f>
        <v>0.37565217391304345</v>
      </c>
      <c r="P52" s="231">
        <v>2300</v>
      </c>
      <c r="Q52" s="87">
        <f t="shared" si="0"/>
        <v>0.37565217391304345</v>
      </c>
      <c r="R52" s="86">
        <v>2300</v>
      </c>
      <c r="S52" s="87">
        <f t="shared" si="20"/>
        <v>0.37565217391304345</v>
      </c>
      <c r="T52" s="86">
        <v>2300</v>
      </c>
      <c r="U52" s="87">
        <f t="shared" si="25"/>
        <v>0.37565217391304345</v>
      </c>
      <c r="V52" s="86">
        <v>2300</v>
      </c>
      <c r="W52" s="232">
        <f t="shared" si="26"/>
        <v>0.37565217391304345</v>
      </c>
      <c r="X52" s="207">
        <v>2300</v>
      </c>
      <c r="Y52" s="87">
        <f t="shared" si="1"/>
        <v>0.37565217391304345</v>
      </c>
      <c r="Z52" s="86">
        <v>2300</v>
      </c>
      <c r="AA52" s="87">
        <f t="shared" si="27"/>
        <v>0.37565217391304345</v>
      </c>
      <c r="AB52" s="86">
        <v>2300</v>
      </c>
      <c r="AC52" s="87">
        <f t="shared" si="28"/>
        <v>0.37565217391304345</v>
      </c>
      <c r="AD52" s="86">
        <v>2300</v>
      </c>
      <c r="AE52" s="245">
        <f t="shared" si="29"/>
        <v>0.37565217391304345</v>
      </c>
      <c r="AF52" s="231">
        <v>2300</v>
      </c>
      <c r="AG52" s="87">
        <f t="shared" si="3"/>
        <v>0.37565217391304345</v>
      </c>
      <c r="AH52" s="86">
        <v>2300</v>
      </c>
      <c r="AI52" s="87">
        <f t="shared" si="4"/>
        <v>0.37565217391304345</v>
      </c>
      <c r="AJ52" s="86">
        <v>2300</v>
      </c>
      <c r="AK52" s="87">
        <f t="shared" si="30"/>
        <v>0.37565217391304345</v>
      </c>
      <c r="AL52" s="86">
        <v>2300</v>
      </c>
      <c r="AM52" s="232">
        <f t="shared" si="31"/>
        <v>0.37565217391304345</v>
      </c>
      <c r="AN52" s="207">
        <v>3000</v>
      </c>
      <c r="AO52" s="87">
        <f t="shared" si="5"/>
        <v>0.288</v>
      </c>
      <c r="AP52" s="86">
        <v>2000</v>
      </c>
      <c r="AQ52" s="245">
        <f t="shared" si="32"/>
        <v>0.432</v>
      </c>
      <c r="AR52" s="231">
        <v>1800</v>
      </c>
      <c r="AS52" s="87">
        <f t="shared" si="6"/>
        <v>0.48</v>
      </c>
      <c r="AT52" s="86">
        <v>1800</v>
      </c>
      <c r="AU52" s="87">
        <f t="shared" si="7"/>
        <v>0.48</v>
      </c>
      <c r="AV52" s="327"/>
    </row>
    <row r="53" spans="1:19" s="27" customFormat="1" ht="27.75" customHeight="1" thickBot="1">
      <c r="A53" s="327"/>
      <c r="B53" s="488" t="s">
        <v>74</v>
      </c>
      <c r="C53" s="489"/>
      <c r="D53" s="418" t="s">
        <v>16</v>
      </c>
      <c r="E53" s="327"/>
      <c r="F53" s="419"/>
      <c r="G53" s="419"/>
      <c r="H53" s="327"/>
      <c r="I53" s="420"/>
      <c r="J53" s="421"/>
      <c r="K53" s="420"/>
      <c r="L53" s="422"/>
      <c r="M53" s="423"/>
      <c r="N53" s="422"/>
      <c r="O53" s="423"/>
      <c r="P53" s="327"/>
      <c r="Q53" s="327"/>
      <c r="R53" s="327"/>
      <c r="S53" s="327"/>
    </row>
    <row r="54" spans="1:19" ht="12">
      <c r="A54" s="327"/>
      <c r="B54" s="370" t="s">
        <v>75</v>
      </c>
      <c r="C54" s="365" t="s">
        <v>6</v>
      </c>
      <c r="D54" s="426" t="s">
        <v>21</v>
      </c>
      <c r="E54" s="327"/>
      <c r="F54" s="425"/>
      <c r="G54" s="425"/>
      <c r="H54" s="425"/>
      <c r="I54" s="425"/>
      <c r="J54" s="425"/>
      <c r="K54" s="425"/>
      <c r="L54" s="327"/>
      <c r="M54" s="327"/>
      <c r="N54" s="327"/>
      <c r="O54" s="327"/>
      <c r="P54" s="327"/>
      <c r="Q54" s="327"/>
      <c r="R54" s="327"/>
      <c r="S54" s="327"/>
    </row>
    <row r="55" spans="1:19" ht="13.5" customHeight="1">
      <c r="A55" s="327"/>
      <c r="B55" s="371" t="s">
        <v>76</v>
      </c>
      <c r="C55" s="361" t="s">
        <v>6</v>
      </c>
      <c r="D55" s="431" t="s">
        <v>20</v>
      </c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327"/>
      <c r="P55" s="327"/>
      <c r="Q55" s="327"/>
      <c r="R55" s="327"/>
      <c r="S55" s="327"/>
    </row>
    <row r="56" spans="1:19" ht="12">
      <c r="A56" s="327"/>
      <c r="B56" s="372" t="s">
        <v>77</v>
      </c>
      <c r="C56" s="366" t="s">
        <v>6</v>
      </c>
      <c r="D56" s="431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327"/>
      <c r="P56" s="327"/>
      <c r="Q56" s="327"/>
      <c r="R56" s="327"/>
      <c r="S56" s="327"/>
    </row>
    <row r="57" spans="1:19" ht="12">
      <c r="A57" s="327"/>
      <c r="B57" s="371" t="s">
        <v>78</v>
      </c>
      <c r="C57" s="362" t="s">
        <v>6</v>
      </c>
      <c r="D57" s="431"/>
      <c r="E57" s="432"/>
      <c r="F57" s="432"/>
      <c r="G57" s="432"/>
      <c r="H57" s="432"/>
      <c r="I57" s="432"/>
      <c r="J57" s="432"/>
      <c r="K57" s="432"/>
      <c r="L57" s="432"/>
      <c r="M57" s="432"/>
      <c r="N57" s="432"/>
      <c r="O57" s="327"/>
      <c r="P57" s="327"/>
      <c r="Q57" s="327"/>
      <c r="R57" s="327"/>
      <c r="S57" s="327"/>
    </row>
    <row r="58" spans="1:19" ht="12">
      <c r="A58" s="327"/>
      <c r="B58" s="372" t="s">
        <v>79</v>
      </c>
      <c r="C58" s="367" t="s">
        <v>6</v>
      </c>
      <c r="D58" s="431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327"/>
      <c r="P58" s="327"/>
      <c r="Q58" s="327"/>
      <c r="R58" s="327"/>
      <c r="S58" s="327"/>
    </row>
    <row r="59" spans="1:19" ht="12">
      <c r="A59" s="327"/>
      <c r="B59" s="371" t="s">
        <v>80</v>
      </c>
      <c r="C59" s="363">
        <f>$C$5/12*0.43</f>
        <v>0.43</v>
      </c>
      <c r="D59" s="431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327"/>
      <c r="P59" s="327"/>
      <c r="Q59" s="327"/>
      <c r="R59" s="327"/>
      <c r="S59" s="327"/>
    </row>
    <row r="60" spans="1:19" ht="12">
      <c r="A60" s="327"/>
      <c r="B60" s="372" t="s">
        <v>81</v>
      </c>
      <c r="C60" s="366" t="s">
        <v>6</v>
      </c>
      <c r="D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</row>
    <row r="61" spans="1:19" ht="12">
      <c r="A61" s="327"/>
      <c r="B61" s="371" t="s">
        <v>82</v>
      </c>
      <c r="C61" s="361" t="s">
        <v>6</v>
      </c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</row>
    <row r="62" spans="1:19" ht="12">
      <c r="A62" s="327"/>
      <c r="B62" s="372" t="s">
        <v>83</v>
      </c>
      <c r="C62" s="368">
        <f>$C$5/12*0.51</f>
        <v>0.51</v>
      </c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</row>
    <row r="63" spans="1:19" ht="12">
      <c r="A63" s="327"/>
      <c r="B63" s="371" t="s">
        <v>84</v>
      </c>
      <c r="C63" s="363">
        <f>$C$5/12*2.26</f>
        <v>2.26</v>
      </c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</row>
    <row r="64" spans="1:19" ht="12">
      <c r="A64" s="327"/>
      <c r="B64" s="372" t="s">
        <v>85</v>
      </c>
      <c r="C64" s="368">
        <f>$C$5/12*3.82</f>
        <v>3.82</v>
      </c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</row>
    <row r="65" spans="1:19" ht="12">
      <c r="A65" s="327"/>
      <c r="B65" s="371" t="s">
        <v>86</v>
      </c>
      <c r="C65" s="363">
        <f>$C$5/12*1.92</f>
        <v>1.92</v>
      </c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</row>
    <row r="66" spans="1:19" ht="12">
      <c r="A66" s="327"/>
      <c r="B66" s="372" t="s">
        <v>87</v>
      </c>
      <c r="C66" s="368">
        <f>$C$5/12*0.4</f>
        <v>0.4</v>
      </c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</row>
    <row r="67" spans="1:19" ht="12">
      <c r="A67" s="327"/>
      <c r="B67" s="371" t="s">
        <v>88</v>
      </c>
      <c r="C67" s="363">
        <f>$C$5/12*0.67</f>
        <v>0.67</v>
      </c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</row>
    <row r="68" spans="1:19" ht="12">
      <c r="A68" s="327"/>
      <c r="B68" s="372" t="s">
        <v>89</v>
      </c>
      <c r="C68" s="366" t="s">
        <v>6</v>
      </c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</row>
    <row r="69" spans="1:19" ht="12">
      <c r="A69" s="327"/>
      <c r="B69" s="371" t="s">
        <v>90</v>
      </c>
      <c r="C69" s="361" t="s">
        <v>6</v>
      </c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</row>
    <row r="70" spans="1:19" ht="12">
      <c r="A70" s="327"/>
      <c r="B70" s="372" t="s">
        <v>1</v>
      </c>
      <c r="C70" s="368">
        <f>$C$5/12*1.59</f>
        <v>1.59</v>
      </c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</row>
    <row r="71" spans="1:19" ht="12">
      <c r="A71" s="327"/>
      <c r="B71" s="371" t="s">
        <v>0</v>
      </c>
      <c r="C71" s="363">
        <f>$C$5/12*0.48</f>
        <v>0.48</v>
      </c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</row>
    <row r="72" spans="1:19" ht="12">
      <c r="A72" s="327"/>
      <c r="B72" s="372" t="s">
        <v>2</v>
      </c>
      <c r="C72" s="368">
        <f>$C$5/12*1.23</f>
        <v>1.23</v>
      </c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</row>
    <row r="73" spans="1:19" ht="12">
      <c r="A73" s="327"/>
      <c r="B73" s="371" t="s">
        <v>3</v>
      </c>
      <c r="C73" s="363">
        <f>$C$5/12*2.29</f>
        <v>2.29</v>
      </c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</row>
    <row r="74" spans="1:19" ht="12">
      <c r="A74" s="327"/>
      <c r="B74" s="372" t="s">
        <v>4</v>
      </c>
      <c r="C74" s="369">
        <f>$C$5/12*0.009</f>
        <v>0.009</v>
      </c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</row>
    <row r="75" spans="1:19" ht="12.75" thickBot="1">
      <c r="A75" s="327"/>
      <c r="B75" s="373" t="s">
        <v>5</v>
      </c>
      <c r="C75" s="364">
        <f>$C$5/12*0.069</f>
        <v>0.069</v>
      </c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</row>
    <row r="76" spans="1:19" ht="12">
      <c r="A76" s="327"/>
      <c r="B76" s="417" t="s">
        <v>7</v>
      </c>
      <c r="C76" s="327"/>
      <c r="D76" s="424" t="s">
        <v>17</v>
      </c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</row>
    <row r="77" spans="1:19" ht="12">
      <c r="A77" s="327"/>
      <c r="B77" s="327"/>
      <c r="C77" s="327"/>
      <c r="D77" s="426" t="s">
        <v>18</v>
      </c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</row>
  </sheetData>
  <sheetProtection password="C190" sheet="1" objects="1" scenarios="1"/>
  <mergeCells count="73">
    <mergeCell ref="B2:C3"/>
    <mergeCell ref="B53:C53"/>
    <mergeCell ref="Q6:Q8"/>
    <mergeCell ref="B38:C38"/>
    <mergeCell ref="B21:C21"/>
    <mergeCell ref="D5:M5"/>
    <mergeCell ref="N6:N8"/>
    <mergeCell ref="M6:M8"/>
    <mergeCell ref="L6:L8"/>
    <mergeCell ref="K6:K8"/>
    <mergeCell ref="J6:J8"/>
    <mergeCell ref="I6:I8"/>
    <mergeCell ref="H6:H8"/>
    <mergeCell ref="G6:G8"/>
    <mergeCell ref="F6:F8"/>
    <mergeCell ref="E6:E8"/>
    <mergeCell ref="D6:D8"/>
    <mergeCell ref="E23:E24"/>
    <mergeCell ref="AH6:AH8"/>
    <mergeCell ref="AG6:AG8"/>
    <mergeCell ref="P6:P8"/>
    <mergeCell ref="O6:O8"/>
    <mergeCell ref="AC6:AC8"/>
    <mergeCell ref="AB6:AB8"/>
    <mergeCell ref="AA6:AA8"/>
    <mergeCell ref="Z6:Z8"/>
    <mergeCell ref="Y6:Y8"/>
    <mergeCell ref="X6:X8"/>
    <mergeCell ref="W6:W8"/>
    <mergeCell ref="V6:V8"/>
    <mergeCell ref="U6:U8"/>
    <mergeCell ref="T6:T8"/>
    <mergeCell ref="S6:S8"/>
    <mergeCell ref="R6:R8"/>
    <mergeCell ref="AU6:AU8"/>
    <mergeCell ref="AT6:AT8"/>
    <mergeCell ref="AF6:AF8"/>
    <mergeCell ref="AE6:AE8"/>
    <mergeCell ref="AD6:AD8"/>
    <mergeCell ref="AS6:AS8"/>
    <mergeCell ref="AR6:AR8"/>
    <mergeCell ref="AQ6:AQ8"/>
    <mergeCell ref="AP6:AP8"/>
    <mergeCell ref="AO6:AO8"/>
    <mergeCell ref="AN6:AN8"/>
    <mergeCell ref="AM6:AM8"/>
    <mergeCell ref="AL6:AL8"/>
    <mergeCell ref="W23:W24"/>
    <mergeCell ref="Y23:Y24"/>
    <mergeCell ref="AA23:AA24"/>
    <mergeCell ref="AC23:AC24"/>
    <mergeCell ref="AE23:AE24"/>
    <mergeCell ref="M23:M24"/>
    <mergeCell ref="O23:O24"/>
    <mergeCell ref="Q23:Q24"/>
    <mergeCell ref="S23:S24"/>
    <mergeCell ref="U23:U24"/>
    <mergeCell ref="D55:N59"/>
    <mergeCell ref="B1:C1"/>
    <mergeCell ref="AG23:AG24"/>
    <mergeCell ref="AI23:AI24"/>
    <mergeCell ref="AU23:AU24"/>
    <mergeCell ref="AK23:AK24"/>
    <mergeCell ref="AM23:AM24"/>
    <mergeCell ref="AO23:AO24"/>
    <mergeCell ref="AQ23:AQ24"/>
    <mergeCell ref="AS23:AS24"/>
    <mergeCell ref="AK6:AK8"/>
    <mergeCell ref="AJ6:AJ8"/>
    <mergeCell ref="AI6:AI8"/>
    <mergeCell ref="G23:G24"/>
    <mergeCell ref="I23:I24"/>
    <mergeCell ref="K23:K24"/>
  </mergeCells>
  <printOptions horizontalCentered="1" verticalCentered="1"/>
  <pageMargins left="0.5" right="0.5" top="0.5" bottom="0.5" header="0" footer="0"/>
  <pageSetup fitToWidth="3" horizontalDpi="300" verticalDpi="300" orientation="landscape" scale="61"/>
  <headerFooter alignWithMargins="0">
    <oddHeader>&amp;C&amp;F</oddHeader>
  </headerFooter>
  <rowBreaks count="1" manualBreakCount="1">
    <brk id="52" max="18" man="1"/>
  </rowBreaks>
  <colBreaks count="1" manualBreakCount="1">
    <brk id="35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North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msavko</dc:creator>
  <cp:keywords/>
  <dc:description/>
  <cp:lastModifiedBy>Authorized User</cp:lastModifiedBy>
  <cp:lastPrinted>2012-09-27T18:00:04Z</cp:lastPrinted>
  <dcterms:created xsi:type="dcterms:W3CDTF">2007-01-05T19:49:04Z</dcterms:created>
  <dcterms:modified xsi:type="dcterms:W3CDTF">2013-02-14T22:23:39Z</dcterms:modified>
  <cp:category/>
  <cp:version/>
  <cp:contentType/>
  <cp:contentStatus/>
</cp:coreProperties>
</file>